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lengrove/Desktop/"/>
    </mc:Choice>
  </mc:AlternateContent>
  <xr:revisionPtr revIDLastSave="0" documentId="8_{2E6B1FB6-5874-2C4A-ADF9-9FC2DE817EEF}" xr6:coauthVersionLast="47" xr6:coauthVersionMax="47" xr10:uidLastSave="{00000000-0000-0000-0000-000000000000}"/>
  <bookViews>
    <workbookView xWindow="42920" yWindow="3120" windowWidth="20740" windowHeight="11160" firstSheet="2" activeTab="2" xr2:uid="{00000000-000D-0000-FFFF-FFFF00000000}"/>
  </bookViews>
  <sheets>
    <sheet name="Balance Sheet Q2" sheetId="4" r:id="rId1"/>
    <sheet name="Balance Sheet Q2 Comparison " sheetId="5" r:id="rId2"/>
    <sheet name="Profit and Loss Q2" sheetId="6" r:id="rId3"/>
    <sheet name="Profit and Loss Comparison Q2" sheetId="8" r:id="rId4"/>
    <sheet name="Statement of Cash Flows Q2" sheetId="11" r:id="rId5"/>
    <sheet name="A R Aging Summary" sheetId="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8" l="1"/>
  <c r="B7" i="11"/>
  <c r="B9" i="11"/>
  <c r="B10" i="11"/>
  <c r="B13" i="11" s="1"/>
  <c r="B14" i="11" s="1"/>
  <c r="B15" i="11" s="1"/>
  <c r="B11" i="11"/>
  <c r="B12" i="11"/>
  <c r="B16" i="11"/>
  <c r="D8" i="8"/>
  <c r="B9" i="8"/>
  <c r="C9" i="8"/>
  <c r="C12" i="8" s="1"/>
  <c r="D9" i="8"/>
  <c r="B10" i="8"/>
  <c r="D10" i="8" s="1"/>
  <c r="C10" i="8"/>
  <c r="B11" i="8"/>
  <c r="C11" i="8"/>
  <c r="D13" i="8"/>
  <c r="B14" i="8"/>
  <c r="C14" i="8"/>
  <c r="B15" i="8"/>
  <c r="D15" i="8" s="1"/>
  <c r="C15" i="8"/>
  <c r="D17" i="8"/>
  <c r="C18" i="8"/>
  <c r="D18" i="8" s="1"/>
  <c r="B19" i="8"/>
  <c r="C19" i="8"/>
  <c r="D23" i="8"/>
  <c r="D24" i="8"/>
  <c r="C25" i="8"/>
  <c r="C26" i="8" s="1"/>
  <c r="C27" i="8" s="1"/>
  <c r="D25" i="8"/>
  <c r="B26" i="8"/>
  <c r="D28" i="8"/>
  <c r="B29" i="8"/>
  <c r="D29" i="8"/>
  <c r="B30" i="8"/>
  <c r="D30" i="8" s="1"/>
  <c r="C31" i="8"/>
  <c r="D31" i="8" s="1"/>
  <c r="C32" i="8"/>
  <c r="D32" i="8" s="1"/>
  <c r="B33" i="8"/>
  <c r="C33" i="8"/>
  <c r="B34" i="8"/>
  <c r="C34" i="8"/>
  <c r="D34" i="8"/>
  <c r="B35" i="8"/>
  <c r="D35" i="8" s="1"/>
  <c r="C36" i="8"/>
  <c r="D36" i="8" s="1"/>
  <c r="C37" i="8"/>
  <c r="D37" i="8" s="1"/>
  <c r="B38" i="8"/>
  <c r="C38" i="8"/>
  <c r="B39" i="8"/>
  <c r="D39" i="8"/>
  <c r="B40" i="8"/>
  <c r="D40" i="8" s="1"/>
  <c r="D41" i="8"/>
  <c r="B42" i="8"/>
  <c r="D42" i="8" s="1"/>
  <c r="B43" i="8"/>
  <c r="D43" i="8" s="1"/>
  <c r="B44" i="8"/>
  <c r="D44" i="8"/>
  <c r="C45" i="8"/>
  <c r="B46" i="8"/>
  <c r="D46" i="8" s="1"/>
  <c r="B47" i="8"/>
  <c r="D47" i="8" s="1"/>
  <c r="C47" i="8"/>
  <c r="C48" i="8"/>
  <c r="D48" i="8"/>
  <c r="B49" i="8"/>
  <c r="D49" i="8"/>
  <c r="B50" i="8"/>
  <c r="D50" i="8"/>
  <c r="B51" i="8"/>
  <c r="C51" i="8"/>
  <c r="D53" i="8"/>
  <c r="B54" i="8"/>
  <c r="C54" i="8"/>
  <c r="D54" i="8"/>
  <c r="B55" i="8"/>
  <c r="D55" i="8"/>
  <c r="B56" i="8"/>
  <c r="C56" i="8"/>
  <c r="D58" i="8"/>
  <c r="B59" i="8"/>
  <c r="C59" i="8"/>
  <c r="D59" i="8"/>
  <c r="C60" i="8"/>
  <c r="D60" i="8"/>
  <c r="B61" i="8"/>
  <c r="C61" i="8"/>
  <c r="B62" i="8"/>
  <c r="C62" i="8"/>
  <c r="D62" i="8"/>
  <c r="B63" i="8"/>
  <c r="C63" i="8"/>
  <c r="B64" i="8"/>
  <c r="C64" i="8"/>
  <c r="B65" i="8"/>
  <c r="D65" i="8"/>
  <c r="B66" i="8"/>
  <c r="D66" i="8"/>
  <c r="B67" i="8"/>
  <c r="C67" i="8"/>
  <c r="B68" i="8"/>
  <c r="D68" i="8" s="1"/>
  <c r="C68" i="8"/>
  <c r="B69" i="8"/>
  <c r="C69" i="8"/>
  <c r="D69" i="8"/>
  <c r="B70" i="8"/>
  <c r="C70" i="8"/>
  <c r="B71" i="8"/>
  <c r="D71" i="8"/>
  <c r="B72" i="8"/>
  <c r="D72" i="8"/>
  <c r="B74" i="8"/>
  <c r="D74" i="8" s="1"/>
  <c r="B75" i="8"/>
  <c r="D75" i="8" s="1"/>
  <c r="C76" i="8"/>
  <c r="B77" i="8"/>
  <c r="C77" i="8"/>
  <c r="B78" i="8"/>
  <c r="C78" i="8"/>
  <c r="B79" i="8"/>
  <c r="C79" i="8"/>
  <c r="C80" i="8"/>
  <c r="D80" i="8"/>
  <c r="B81" i="8"/>
  <c r="B84" i="8" s="1"/>
  <c r="C81" i="8"/>
  <c r="B82" i="8"/>
  <c r="D82" i="8" s="1"/>
  <c r="B83" i="8"/>
  <c r="C83" i="8"/>
  <c r="D83" i="8"/>
  <c r="B85" i="8"/>
  <c r="C85" i="8"/>
  <c r="C86" i="8"/>
  <c r="D86" i="8" s="1"/>
  <c r="C87" i="8"/>
  <c r="D87" i="8" s="1"/>
  <c r="B88" i="8"/>
  <c r="B90" i="8" s="1"/>
  <c r="C88" i="8"/>
  <c r="D88" i="8"/>
  <c r="B89" i="8"/>
  <c r="D89" i="8"/>
  <c r="D92" i="8"/>
  <c r="B93" i="8"/>
  <c r="C93" i="8"/>
  <c r="D93" i="8"/>
  <c r="B94" i="8"/>
  <c r="C94" i="8"/>
  <c r="B95" i="8"/>
  <c r="C95" i="8"/>
  <c r="C96" i="8"/>
  <c r="D96" i="8" s="1"/>
  <c r="B97" i="8"/>
  <c r="C97" i="8"/>
  <c r="B98" i="8"/>
  <c r="C98" i="8"/>
  <c r="B99" i="8"/>
  <c r="C99" i="8"/>
  <c r="D99" i="8"/>
  <c r="D101" i="8"/>
  <c r="C102" i="8"/>
  <c r="D102" i="8"/>
  <c r="B103" i="8"/>
  <c r="C103" i="8"/>
  <c r="C104" i="8"/>
  <c r="D104" i="8"/>
  <c r="B105" i="8"/>
  <c r="D105" i="8" s="1"/>
  <c r="B106" i="8"/>
  <c r="D106" i="8" s="1"/>
  <c r="B107" i="8"/>
  <c r="C107" i="8"/>
  <c r="B108" i="8"/>
  <c r="D108" i="8"/>
  <c r="C109" i="8"/>
  <c r="D109" i="8"/>
  <c r="B114" i="8"/>
  <c r="B116" i="8" s="1"/>
  <c r="C114" i="8"/>
  <c r="C115" i="8"/>
  <c r="C116" i="8" s="1"/>
  <c r="D118" i="8"/>
  <c r="B119" i="8"/>
  <c r="B120" i="8" s="1"/>
  <c r="D119" i="8"/>
  <c r="C120" i="8"/>
  <c r="C121" i="8" s="1"/>
  <c r="B8" i="6"/>
  <c r="B9" i="6"/>
  <c r="B10" i="6"/>
  <c r="B11" i="6"/>
  <c r="B13" i="6"/>
  <c r="B15" i="6" s="1"/>
  <c r="B14" i="6"/>
  <c r="B20" i="6"/>
  <c r="B21" i="6"/>
  <c r="B22" i="6"/>
  <c r="B23" i="6"/>
  <c r="B24" i="6"/>
  <c r="B25" i="6"/>
  <c r="B26" i="6"/>
  <c r="B27" i="6"/>
  <c r="B29" i="6"/>
  <c r="B30" i="6"/>
  <c r="B31" i="6"/>
  <c r="B33" i="6"/>
  <c r="B34" i="6"/>
  <c r="B35" i="6"/>
  <c r="B36" i="6"/>
  <c r="B37" i="6"/>
  <c r="B40" i="6"/>
  <c r="B41" i="6"/>
  <c r="B42" i="6"/>
  <c r="B45" i="6"/>
  <c r="B47" i="6"/>
  <c r="B48" i="6"/>
  <c r="B49" i="6"/>
  <c r="B59" i="6" s="1"/>
  <c r="B50" i="6"/>
  <c r="B51" i="6"/>
  <c r="B52" i="6"/>
  <c r="B53" i="6"/>
  <c r="B54" i="6"/>
  <c r="B55" i="6"/>
  <c r="B56" i="6"/>
  <c r="B57" i="6"/>
  <c r="B58" i="6"/>
  <c r="B60" i="6"/>
  <c r="B61" i="6"/>
  <c r="B62" i="6"/>
  <c r="B63" i="6"/>
  <c r="B64" i="6"/>
  <c r="B65" i="6"/>
  <c r="B67" i="6"/>
  <c r="B70" i="6" s="1"/>
  <c r="B68" i="6"/>
  <c r="B69" i="6"/>
  <c r="B71" i="6"/>
  <c r="B73" i="6"/>
  <c r="B74" i="6"/>
  <c r="B75" i="6"/>
  <c r="B78" i="6"/>
  <c r="B79" i="6"/>
  <c r="B80" i="6"/>
  <c r="B81" i="6"/>
  <c r="B82" i="6"/>
  <c r="B83" i="6"/>
  <c r="B86" i="6"/>
  <c r="B87" i="6"/>
  <c r="B88" i="6"/>
  <c r="B89" i="6"/>
  <c r="B90" i="6"/>
  <c r="B95" i="6"/>
  <c r="B96" i="6" s="1"/>
  <c r="B99" i="6"/>
  <c r="B100" i="6"/>
  <c r="B101" i="6"/>
  <c r="B10" i="5"/>
  <c r="C10" i="5"/>
  <c r="D10" i="5"/>
  <c r="B11" i="5"/>
  <c r="C11" i="5"/>
  <c r="B12" i="5"/>
  <c r="C12" i="5"/>
  <c r="B15" i="5"/>
  <c r="C15" i="5"/>
  <c r="C17" i="5" s="1"/>
  <c r="D15" i="5"/>
  <c r="B16" i="5"/>
  <c r="D16" i="5" s="1"/>
  <c r="C16" i="5"/>
  <c r="B24" i="5"/>
  <c r="C24" i="5"/>
  <c r="C28" i="5" s="1"/>
  <c r="C30" i="5" s="1"/>
  <c r="C34" i="5" s="1"/>
  <c r="C35" i="5" s="1"/>
  <c r="B25" i="5"/>
  <c r="C25" i="5"/>
  <c r="D25" i="5" s="1"/>
  <c r="B26" i="5"/>
  <c r="D26" i="5" s="1"/>
  <c r="B27" i="5"/>
  <c r="D27" i="5" s="1"/>
  <c r="C27" i="5"/>
  <c r="B29" i="5"/>
  <c r="D29" i="5" s="1"/>
  <c r="B32" i="5"/>
  <c r="D32" i="5"/>
  <c r="B33" i="5"/>
  <c r="C33" i="5"/>
  <c r="D33" i="5" s="1"/>
  <c r="B37" i="5"/>
  <c r="D37" i="5" s="1"/>
  <c r="C37" i="5"/>
  <c r="B38" i="5"/>
  <c r="C38" i="5"/>
  <c r="D38" i="5" s="1"/>
  <c r="B9" i="4"/>
  <c r="B12" i="4" s="1"/>
  <c r="B17" i="4" s="1"/>
  <c r="B18" i="4" s="1"/>
  <c r="B10" i="4"/>
  <c r="B11" i="4"/>
  <c r="B14" i="4"/>
  <c r="B15" i="4"/>
  <c r="B16" i="4"/>
  <c r="B23" i="4"/>
  <c r="B24" i="4"/>
  <c r="B25" i="4"/>
  <c r="B27" i="4"/>
  <c r="B30" i="4"/>
  <c r="B31" i="4" s="1"/>
  <c r="B35" i="4"/>
  <c r="B36" i="4"/>
  <c r="D17" i="1"/>
  <c r="C16" i="1"/>
  <c r="G16" i="1" s="1"/>
  <c r="C15" i="1"/>
  <c r="G15" i="1" s="1"/>
  <c r="E14" i="1"/>
  <c r="G14" i="1" s="1"/>
  <c r="C13" i="1"/>
  <c r="G13" i="1" s="1"/>
  <c r="B12" i="1"/>
  <c r="G12" i="1" s="1"/>
  <c r="B11" i="1"/>
  <c r="G11" i="1" s="1"/>
  <c r="F10" i="1"/>
  <c r="G10" i="1" s="1"/>
  <c r="F9" i="1"/>
  <c r="G9" i="1" s="1"/>
  <c r="C8" i="1"/>
  <c r="B8" i="1"/>
  <c r="E7" i="1"/>
  <c r="G7" i="1" s="1"/>
  <c r="G6" i="1"/>
  <c r="F6" i="1"/>
  <c r="D14" i="8" l="1"/>
  <c r="C17" i="1"/>
  <c r="B39" i="5"/>
  <c r="D39" i="5" s="1"/>
  <c r="D12" i="5"/>
  <c r="D103" i="8"/>
  <c r="D11" i="8"/>
  <c r="C39" i="5"/>
  <c r="C40" i="5" s="1"/>
  <c r="D11" i="5"/>
  <c r="C110" i="8"/>
  <c r="B17" i="11"/>
  <c r="D63" i="8"/>
  <c r="B38" i="6"/>
  <c r="D24" i="5"/>
  <c r="D38" i="8"/>
  <c r="C90" i="8"/>
  <c r="B16" i="6"/>
  <c r="B17" i="6" s="1"/>
  <c r="D77" i="8"/>
  <c r="B26" i="4"/>
  <c r="B28" i="4" s="1"/>
  <c r="B91" i="6"/>
  <c r="C13" i="5"/>
  <c r="C18" i="5" s="1"/>
  <c r="C19" i="5" s="1"/>
  <c r="D120" i="8"/>
  <c r="C84" i="8"/>
  <c r="D84" i="8" s="1"/>
  <c r="B32" i="6"/>
  <c r="D98" i="8"/>
  <c r="B37" i="4"/>
  <c r="B102" i="6"/>
  <c r="B84" i="6"/>
  <c r="B43" i="6"/>
  <c r="C73" i="8"/>
  <c r="C57" i="8"/>
  <c r="B100" i="8"/>
  <c r="C52" i="8"/>
  <c r="D107" i="8"/>
  <c r="C100" i="8"/>
  <c r="D78" i="8"/>
  <c r="D64" i="8"/>
  <c r="D61" i="8"/>
  <c r="D56" i="8"/>
  <c r="D51" i="8"/>
  <c r="D33" i="8"/>
  <c r="D19" i="8"/>
  <c r="D97" i="8"/>
  <c r="D95" i="8"/>
  <c r="B45" i="8"/>
  <c r="D45" i="8" s="1"/>
  <c r="D115" i="8"/>
  <c r="D85" i="8"/>
  <c r="D81" i="8"/>
  <c r="D79" i="8"/>
  <c r="D70" i="8"/>
  <c r="D67" i="8"/>
  <c r="D26" i="8"/>
  <c r="C16" i="8"/>
  <c r="C20" i="8" s="1"/>
  <c r="C21" i="8" s="1"/>
  <c r="D116" i="8"/>
  <c r="C122" i="8"/>
  <c r="B110" i="8"/>
  <c r="D90" i="8"/>
  <c r="B73" i="8"/>
  <c r="B27" i="8"/>
  <c r="B12" i="8"/>
  <c r="B121" i="8"/>
  <c r="D121" i="8" s="1"/>
  <c r="D114" i="8"/>
  <c r="D94" i="8"/>
  <c r="B76" i="8"/>
  <c r="D76" i="8" s="1"/>
  <c r="B57" i="8"/>
  <c r="D57" i="8" s="1"/>
  <c r="B52" i="8"/>
  <c r="D52" i="8" s="1"/>
  <c r="B16" i="8"/>
  <c r="B76" i="6"/>
  <c r="B28" i="5"/>
  <c r="B17" i="5"/>
  <c r="D17" i="5" s="1"/>
  <c r="B13" i="5"/>
  <c r="B32" i="4"/>
  <c r="B33" i="4" s="1"/>
  <c r="B38" i="4" s="1"/>
  <c r="G8" i="1"/>
  <c r="E17" i="1"/>
  <c r="B17" i="1"/>
  <c r="F17" i="1"/>
  <c r="B92" i="6" l="1"/>
  <c r="B93" i="6" s="1"/>
  <c r="B103" i="6" s="1"/>
  <c r="D110" i="8"/>
  <c r="G17" i="1"/>
  <c r="D100" i="8"/>
  <c r="D16" i="8"/>
  <c r="D12" i="8"/>
  <c r="B20" i="8"/>
  <c r="D27" i="8"/>
  <c r="D73" i="8"/>
  <c r="B91" i="8"/>
  <c r="B111" i="8" s="1"/>
  <c r="C91" i="8"/>
  <c r="C111" i="8" s="1"/>
  <c r="C112" i="8" s="1"/>
  <c r="C123" i="8" s="1"/>
  <c r="B122" i="8"/>
  <c r="D122" i="8" s="1"/>
  <c r="D13" i="5"/>
  <c r="B18" i="5"/>
  <c r="D28" i="5"/>
  <c r="B30" i="5"/>
  <c r="D111" i="8" l="1"/>
  <c r="D91" i="8"/>
  <c r="B21" i="8"/>
  <c r="D20" i="8"/>
  <c r="B34" i="5"/>
  <c r="D30" i="5"/>
  <c r="B19" i="5"/>
  <c r="D19" i="5" s="1"/>
  <c r="D18" i="5"/>
  <c r="B112" i="8" l="1"/>
  <c r="D21" i="8"/>
  <c r="D34" i="5"/>
  <c r="B35" i="5"/>
  <c r="B123" i="8" l="1"/>
  <c r="D123" i="8" s="1"/>
  <c r="D112" i="8"/>
  <c r="D35" i="5"/>
  <c r="B40" i="5"/>
  <c r="D40" i="5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E05ABBC-D789-453B-B4D3-18E4D445CE9E}" keepAlive="1" name="Query - Balance Sheet" description="Connection to the 'Balance Sheet' query in the workbook." type="5" refreshedVersion="0" background="1">
    <dbPr connection="Provider=Microsoft.Mashup.OleDb.1;Data Source=$Workbook$;Location=&quot;Balance Sheet&quot;;Extended Properties=&quot;&quot;" command="SELECT * FROM [Balance Sheet]"/>
  </connection>
</connections>
</file>

<file path=xl/sharedStrings.xml><?xml version="1.0" encoding="utf-8"?>
<sst xmlns="http://schemas.openxmlformats.org/spreadsheetml/2006/main" count="336" uniqueCount="190">
  <si>
    <t>Current</t>
  </si>
  <si>
    <t>1 - 30</t>
  </si>
  <si>
    <t>31 - 60</t>
  </si>
  <si>
    <t>61 - 90</t>
  </si>
  <si>
    <t>91 and over</t>
  </si>
  <si>
    <t>Total</t>
  </si>
  <si>
    <t>TOTAL</t>
  </si>
  <si>
    <t>Thursday, Jul 22, 2021 01:10:20 PM GMT-7</t>
  </si>
  <si>
    <t>Agile Alliance</t>
  </si>
  <si>
    <t>A/R Aging Summary</t>
  </si>
  <si>
    <t>As of June 30, 2021</t>
  </si>
  <si>
    <t>Balance Sheet</t>
  </si>
  <si>
    <t>ASSETS</t>
  </si>
  <si>
    <t xml:space="preserve">   Current Assets</t>
  </si>
  <si>
    <t xml:space="preserve">      Bank Accounts</t>
  </si>
  <si>
    <t xml:space="preserve">         BB&amp;T Checking</t>
  </si>
  <si>
    <t xml:space="preserve">         Everbank CD</t>
  </si>
  <si>
    <t xml:space="preserve">         Money Market</t>
  </si>
  <si>
    <t xml:space="preserve">      Total Bank Accounts</t>
  </si>
  <si>
    <t xml:space="preserve">      Other Current Assets</t>
  </si>
  <si>
    <t xml:space="preserve">         Deposit</t>
  </si>
  <si>
    <t xml:space="preserve">         Inventory Asset</t>
  </si>
  <si>
    <t xml:space="preserve">      Total Other Current Assets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</si>
  <si>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</si>
  <si>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</si>
  <si>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</si>
  <si>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</si>
  <si>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</si>
  <si>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Credit Cards</t>
  </si>
  <si>
    <t xml:space="preserve">            Business Visa</t>
  </si>
  <si>
    <t xml:space="preserve">               Visa - Anna Vickers</t>
  </si>
  <si>
    <t xml:space="preserve">               Visa - Ellen Grove</t>
  </si>
  <si>
    <t xml:space="preserve">            Total Business Visa</t>
  </si>
  <si>
    <t xml:space="preserve">            PPP Note</t>
  </si>
  <si>
    <t xml:space="preserve">         Total Credit Cards</t>
  </si>
  <si>
    <t xml:space="preserve">         Other Current Liabilities</t>
  </si>
  <si>
    <t xml:space="preserve">            Conference Rollovers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</si>
  <si>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</si>
  <si>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</si>
  <si>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</si>
  <si>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</si>
  <si>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Retained Earnings</t>
  </si>
  <si>
    <t xml:space="preserve">      Net Income</t>
  </si>
  <si>
    <t xml:space="preserve">   Total Equity</t>
  </si>
  <si>
    <t>TOTAL LIABILITIES AND EQUITY</t>
  </si>
  <si>
    <t>Thursday, Jul 22, 2021 01:12:17 PM GMT-7 - Cash Basis</t>
  </si>
  <si>
    <t>Thursday, Jul 22, 2021 01:13:30 PM GMT-7 - Cash Basis</t>
  </si>
  <si>
    <t xml:space="preserve">               Visa - Phil Brock (deleted)</t>
  </si>
  <si>
    <t>Change</t>
  </si>
  <si>
    <t>As of Jun 30, 2020 (PY)</t>
  </si>
  <si>
    <t>As of Jun 30, 2021</t>
  </si>
  <si>
    <t xml:space="preserve">Balance Sheet Comparison </t>
  </si>
  <si>
    <t>Thursday, Jul 22, 2021 01:30:50 PM GMT-7 - Cash Basis</t>
  </si>
  <si>
    <t>Net Income</t>
  </si>
  <si>
    <t>Net Other Income</t>
  </si>
  <si>
    <t>Total Other Expenses</t>
  </si>
  <si>
    <t xml:space="preserve">   Total User Groups</t>
  </si>
  <si>
    <t xml:space="preserve">      Agile PDX</t>
  </si>
  <si>
    <t xml:space="preserve">   User Groups</t>
  </si>
  <si>
    <t>Other Expenses</t>
  </si>
  <si>
    <t>Total Other Income</t>
  </si>
  <si>
    <t xml:space="preserve">   Interest Income</t>
  </si>
  <si>
    <t>Other Income</t>
  </si>
  <si>
    <t>Net Operating Income</t>
  </si>
  <si>
    <t>Total Expenses</t>
  </si>
  <si>
    <t xml:space="preserve">   Total Programs</t>
  </si>
  <si>
    <t xml:space="preserve">      Sharing Stories</t>
  </si>
  <si>
    <t xml:space="preserve">      Conference Sponsorship Program</t>
  </si>
  <si>
    <t xml:space="preserve">      Community Groups</t>
  </si>
  <si>
    <t xml:space="preserve">      Community Development</t>
  </si>
  <si>
    <t xml:space="preserve">      Agile Open</t>
  </si>
  <si>
    <t xml:space="preserve">   Programs</t>
  </si>
  <si>
    <t xml:space="preserve">   Total Payroll Expenses</t>
  </si>
  <si>
    <t xml:space="preserve">      Worker's Comp</t>
  </si>
  <si>
    <t xml:space="preserve">      Taxes</t>
  </si>
  <si>
    <t xml:space="preserve">      Salary</t>
  </si>
  <si>
    <t xml:space="preserve">      Processing Fees</t>
  </si>
  <si>
    <t xml:space="preserve">      Health Insurance</t>
  </si>
  <si>
    <t xml:space="preserve">      Disability Insurance</t>
  </si>
  <si>
    <t xml:space="preserve">   Payroll Expenses</t>
  </si>
  <si>
    <t xml:space="preserve">   Total Operational Expenses</t>
  </si>
  <si>
    <t xml:space="preserve">      Total Website</t>
  </si>
  <si>
    <t xml:space="preserve">         Web Hosting</t>
  </si>
  <si>
    <t xml:space="preserve">         Web Development</t>
  </si>
  <si>
    <t xml:space="preserve">      Website</t>
  </si>
  <si>
    <t xml:space="preserve">      Software</t>
  </si>
  <si>
    <t xml:space="preserve">      Total Professional Fees</t>
  </si>
  <si>
    <t xml:space="preserve">         Legal Fees</t>
  </si>
  <si>
    <t xml:space="preserve">         HR</t>
  </si>
  <si>
    <t xml:space="preserve">         Facilitation</t>
  </si>
  <si>
    <t xml:space="preserve">      Professional Fees</t>
  </si>
  <si>
    <t xml:space="preserve">      Miscellaneous Office</t>
  </si>
  <si>
    <t xml:space="preserve">      Membership Communications</t>
  </si>
  <si>
    <t xml:space="preserve">      Marketing</t>
  </si>
  <si>
    <t xml:space="preserve">      Total Insurance</t>
  </si>
  <si>
    <t xml:space="preserve">         Cyber Security</t>
  </si>
  <si>
    <t xml:space="preserve">      Insurance</t>
  </si>
  <si>
    <t xml:space="preserve">      Total Contract Labor</t>
  </si>
  <si>
    <t xml:space="preserve">         Website</t>
  </si>
  <si>
    <t xml:space="preserve">         Volunteers</t>
  </si>
  <si>
    <t xml:space="preserve">         Third Party Events Support</t>
  </si>
  <si>
    <t xml:space="preserve">         Social Media</t>
  </si>
  <si>
    <t xml:space="preserve">         Reg. and Membership Mgmt</t>
  </si>
  <si>
    <t xml:space="preserve">         Miscellaneous General</t>
  </si>
  <si>
    <t xml:space="preserve">         Membership Communications</t>
  </si>
  <si>
    <t xml:space="preserve">         Management Services</t>
  </si>
  <si>
    <t xml:space="preserve">         Initiative Support</t>
  </si>
  <si>
    <t xml:space="preserve">         Experience Report</t>
  </si>
  <si>
    <t xml:space="preserve">         Community Development</t>
  </si>
  <si>
    <t xml:space="preserve">         Administrative Support</t>
  </si>
  <si>
    <t xml:space="preserve">      Contract Labor</t>
  </si>
  <si>
    <t xml:space="preserve">      Bank Service Charges</t>
  </si>
  <si>
    <t xml:space="preserve">   Operational Expenses</t>
  </si>
  <si>
    <t xml:space="preserve">   Total Merchant Fees</t>
  </si>
  <si>
    <t xml:space="preserve">      Individual Members</t>
  </si>
  <si>
    <t xml:space="preserve">      General</t>
  </si>
  <si>
    <t xml:space="preserve">      Corporate Members</t>
  </si>
  <si>
    <t xml:space="preserve">   Merchant Fees</t>
  </si>
  <si>
    <t xml:space="preserve">   Total Conference Expense</t>
  </si>
  <si>
    <t xml:space="preserve">      Video</t>
  </si>
  <si>
    <t xml:space="preserve">      SWAG</t>
  </si>
  <si>
    <t xml:space="preserve">      Submission System</t>
  </si>
  <si>
    <t xml:space="preserve">      Publishing</t>
  </si>
  <si>
    <t xml:space="preserve">      Platform Software</t>
  </si>
  <si>
    <t xml:space="preserve">      Total Merchant Fees</t>
  </si>
  <si>
    <t xml:space="preserve">         Sponsorships</t>
  </si>
  <si>
    <t xml:space="preserve">         Research Papers</t>
  </si>
  <si>
    <t xml:space="preserve">         Registrations</t>
  </si>
  <si>
    <t xml:space="preserve">      Merchant Fees</t>
  </si>
  <si>
    <t xml:space="preserve">      Marketing/Promotion</t>
  </si>
  <si>
    <t xml:space="preserve">      Legal</t>
  </si>
  <si>
    <t xml:space="preserve">      Honoraria</t>
  </si>
  <si>
    <t xml:space="preserve">      Conference Web-site</t>
  </si>
  <si>
    <t xml:space="preserve">      Conference Planning &amp; Material</t>
  </si>
  <si>
    <t xml:space="preserve">      Conference Planner</t>
  </si>
  <si>
    <t xml:space="preserve">      Canadian Tax</t>
  </si>
  <si>
    <t xml:space="preserve">      Art/Design</t>
  </si>
  <si>
    <t xml:space="preserve">   Conference Expense</t>
  </si>
  <si>
    <t>Expenses</t>
  </si>
  <si>
    <t>Gross Profit</t>
  </si>
  <si>
    <t>Total Income</t>
  </si>
  <si>
    <t xml:space="preserve">   Total Memberships</t>
  </si>
  <si>
    <t xml:space="preserve">      Individual</t>
  </si>
  <si>
    <t xml:space="preserve">      Corporate</t>
  </si>
  <si>
    <t xml:space="preserve">   Memberships</t>
  </si>
  <si>
    <t xml:space="preserve">   Total Conference Income</t>
  </si>
  <si>
    <t xml:space="preserve">      Sponsorships</t>
  </si>
  <si>
    <t xml:space="preserve">      Research Papers</t>
  </si>
  <si>
    <t xml:space="preserve">      Attendees</t>
  </si>
  <si>
    <t xml:space="preserve">   Conference Income</t>
  </si>
  <si>
    <t>Income</t>
  </si>
  <si>
    <t>April - June, 2021</t>
  </si>
  <si>
    <t>Profit and Loss</t>
  </si>
  <si>
    <t>June 2021</t>
  </si>
  <si>
    <t>Thursday, Jul 22, 2021 01:33:41 PM GMT-7 - Cash Basis</t>
  </si>
  <si>
    <t xml:space="preserve">   Royalties</t>
  </si>
  <si>
    <t xml:space="preserve">      Women in Agile Workshop</t>
  </si>
  <si>
    <t xml:space="preserve">      AgilityToday</t>
  </si>
  <si>
    <t xml:space="preserve">      ACCWW</t>
  </si>
  <si>
    <t xml:space="preserve">      Retirement Benefits</t>
  </si>
  <si>
    <t xml:space="preserve">      Registration</t>
  </si>
  <si>
    <t xml:space="preserve">      Facility &amp; Equipment</t>
  </si>
  <si>
    <t xml:space="preserve">      Emails</t>
  </si>
  <si>
    <t xml:space="preserve">      Committee Honoraria</t>
  </si>
  <si>
    <t xml:space="preserve">      Committee Expenses</t>
  </si>
  <si>
    <t xml:space="preserve">   Total Board Expenses</t>
  </si>
  <si>
    <t xml:space="preserve">      Total Professional Services</t>
  </si>
  <si>
    <t xml:space="preserve">         Consulting</t>
  </si>
  <si>
    <t xml:space="preserve">      Professional Services</t>
  </si>
  <si>
    <t xml:space="preserve">   Board Expenses</t>
  </si>
  <si>
    <t xml:space="preserve">   Total Programs Income</t>
  </si>
  <si>
    <t xml:space="preserve">   Programs Income</t>
  </si>
  <si>
    <t>Apr - Jun, 2020 (PY)</t>
  </si>
  <si>
    <t>Apr - Jun, 2021</t>
  </si>
  <si>
    <t>Profit and Loss Comparison</t>
  </si>
  <si>
    <t>Cash at end of period</t>
  </si>
  <si>
    <t>Cash at beginning of period</t>
  </si>
  <si>
    <t>Net cash increase for period</t>
  </si>
  <si>
    <t>Net cash provided by operating activities</t>
  </si>
  <si>
    <t xml:space="preserve">   Total Adjustments to reconcile Net Income to Net Cash provided by operations:</t>
  </si>
  <si>
    <t xml:space="preserve">      Business Visa:Visa - Ellen Grove</t>
  </si>
  <si>
    <t xml:space="preserve">      Business Visa:Visa - Anna Vickers</t>
  </si>
  <si>
    <t xml:space="preserve">      Accounts Payable</t>
  </si>
  <si>
    <t xml:space="preserve">      Accounts Receivable</t>
  </si>
  <si>
    <t xml:space="preserve">   Adjustments to reconcile Net Income to Net Cash provided by operations:</t>
  </si>
  <si>
    <t xml:space="preserve">   Net Income</t>
  </si>
  <si>
    <t>OPERATING ACTIVITIES</t>
  </si>
  <si>
    <t>Statement of Cash Flows</t>
  </si>
  <si>
    <t>Thursday, Jul 22, 2021 01:19:24 PM GMT-7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</si>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</sst>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0CE92-6363-431B-91C8-A9EB703E23EB}">
  <dimension ref="A1:B42"/>
  <sheetViews>
    <sheetView workbookViewId="0">
      <selection sqref="A1:B1"/>
    </sheetView>
  </sheetViews>
  <sheetFormatPr baseColWidth="10" defaultColWidth="8.83203125" defaultRowHeight="15" x14ac:dyDescent="0.2"/>
  <cols>
    <col min="1" max="1" width="35.33203125" customWidth="1"/>
    <col min="2" max="2" width="12.83203125" customWidth="1"/>
  </cols>
  <sheetData>
    <row r="1" spans="1:2" ht="18" x14ac:dyDescent="0.2">
      <c r="A1" s="9" t="s">
        <v>189</v>
      </c>
      <c r="B1" s="8"/>
    </row>
    <row r="2" spans="1:2" ht="18" x14ac:dyDescent="0.2">
      <c r="A2" s="9" t="s">
        <v>11</v>
      </c>
      <c r="B2" s="8"/>
    </row>
    <row r="3" spans="1:2" x14ac:dyDescent="0.2">
      <c r="A3" s="10" t="s">
        <v>10</v>
      </c>
      <c r="B3" s="8"/>
    </row>
    <row r="5" spans="1:2" x14ac:dyDescent="0.2">
      <c r="A5" s="1"/>
      <c r="B5" s="2" t="s">
        <v>5</v>
      </c>
    </row>
    <row r="6" spans="1:2" x14ac:dyDescent="0.2">
      <c r="A6" s="3" t="s">
        <v>12</v>
      </c>
      <c r="B6" s="4"/>
    </row>
    <row r="7" spans="1:2" x14ac:dyDescent="0.2">
      <c r="A7" s="3" t="s">
        <v>13</v>
      </c>
      <c r="B7" s="4"/>
    </row>
    <row r="8" spans="1:2" x14ac:dyDescent="0.2">
      <c r="A8" s="3" t="s">
        <v>14</v>
      </c>
      <c r="B8" s="4"/>
    </row>
    <row r="9" spans="1:2" x14ac:dyDescent="0.2">
      <c r="A9" s="3" t="s">
        <v>15</v>
      </c>
      <c r="B9" s="5">
        <f>932898.37</f>
        <v>932898.37</v>
      </c>
    </row>
    <row r="10" spans="1:2" x14ac:dyDescent="0.2">
      <c r="A10" s="3" t="s">
        <v>16</v>
      </c>
      <c r="B10" s="5">
        <f>532439.05</f>
        <v>532439.05000000005</v>
      </c>
    </row>
    <row r="11" spans="1:2" x14ac:dyDescent="0.2">
      <c r="A11" s="3" t="s">
        <v>17</v>
      </c>
      <c r="B11" s="5">
        <f>1200155.01</f>
        <v>1200155.01</v>
      </c>
    </row>
    <row r="12" spans="1:2" x14ac:dyDescent="0.2">
      <c r="A12" s="3" t="s">
        <v>18</v>
      </c>
      <c r="B12" s="6">
        <f>((B9)+(B10))+(B11)</f>
        <v>2665492.4299999997</v>
      </c>
    </row>
    <row r="13" spans="1:2" x14ac:dyDescent="0.2">
      <c r="A13" s="3" t="s">
        <v>19</v>
      </c>
      <c r="B13" s="4"/>
    </row>
    <row r="14" spans="1:2" x14ac:dyDescent="0.2">
      <c r="A14" s="3" t="s">
        <v>20</v>
      </c>
      <c r="B14" s="5">
        <f>8444.88</f>
        <v>8444.8799999999992</v>
      </c>
    </row>
    <row r="15" spans="1:2" x14ac:dyDescent="0.2">
      <c r="A15" s="3" t="s">
        <v>21</v>
      </c>
      <c r="B15" s="5">
        <f>7017</f>
        <v>7017</v>
      </c>
    </row>
    <row r="16" spans="1:2" x14ac:dyDescent="0.2">
      <c r="A16" s="3" t="s">
        <v>22</v>
      </c>
      <c r="B16" s="6">
        <f>(B14)+(B15)</f>
        <v>15461.88</v>
      </c>
    </row>
    <row r="17" spans="1:2" x14ac:dyDescent="0.2">
      <c r="A17" s="3" t="s">
        <v>23</v>
      </c>
      <c r="B17" s="6">
        <f>(B12)+(B16)</f>
        <v>2680954.3099999996</v>
      </c>
    </row>
    <row r="18" spans="1:2" x14ac:dyDescent="0.2">
      <c r="A18" s="3" t="s">
        <v>24</v>
      </c>
      <c r="B18" s="6">
        <f>B17</f>
        <v>2680954.3099999996</v>
      </c>
    </row>
    <row r="19" spans="1:2" x14ac:dyDescent="0.2">
      <c r="A19" s="3" t="s">
        <v>25</v>
      </c>
      <c r="B19" s="4"/>
    </row>
    <row r="20" spans="1:2" x14ac:dyDescent="0.2">
      <c r="A20" s="3" t="s">
        <v>26</v>
      </c>
      <c r="B20" s="4"/>
    </row>
    <row r="21" spans="1:2" x14ac:dyDescent="0.2">
      <c r="A21" s="3" t="s">
        <v>27</v>
      </c>
      <c r="B21" s="4"/>
    </row>
    <row r="22" spans="1:2" x14ac:dyDescent="0.2">
      <c r="A22" s="3" t="s">
        <v>28</v>
      </c>
      <c r="B22" s="4"/>
    </row>
    <row r="23" spans="1:2" x14ac:dyDescent="0.2">
      <c r="A23" s="3" t="s">
        <v>29</v>
      </c>
      <c r="B23" s="5">
        <f>0</f>
        <v>0</v>
      </c>
    </row>
    <row r="24" spans="1:2" x14ac:dyDescent="0.2">
      <c r="A24" s="3" t="s">
        <v>30</v>
      </c>
      <c r="B24" s="5">
        <f>2617.59</f>
        <v>2617.59</v>
      </c>
    </row>
    <row r="25" spans="1:2" x14ac:dyDescent="0.2">
      <c r="A25" s="3" t="s">
        <v>31</v>
      </c>
      <c r="B25" s="5">
        <f>7340.85</f>
        <v>7340.85</v>
      </c>
    </row>
    <row r="26" spans="1:2" x14ac:dyDescent="0.2">
      <c r="A26" s="3" t="s">
        <v>32</v>
      </c>
      <c r="B26" s="6">
        <f>((B23)+(B24))+(B25)</f>
        <v>9958.44</v>
      </c>
    </row>
    <row r="27" spans="1:2" x14ac:dyDescent="0.2">
      <c r="A27" s="3" t="s">
        <v>33</v>
      </c>
      <c r="B27" s="5">
        <f>95858</f>
        <v>95858</v>
      </c>
    </row>
    <row r="28" spans="1:2" x14ac:dyDescent="0.2">
      <c r="A28" s="3" t="s">
        <v>34</v>
      </c>
      <c r="B28" s="6">
        <f>(B26)+(B27)</f>
        <v>105816.44</v>
      </c>
    </row>
    <row r="29" spans="1:2" x14ac:dyDescent="0.2">
      <c r="A29" s="3" t="s">
        <v>35</v>
      </c>
      <c r="B29" s="4"/>
    </row>
    <row r="30" spans="1:2" x14ac:dyDescent="0.2">
      <c r="A30" s="3" t="s">
        <v>36</v>
      </c>
      <c r="B30" s="5">
        <f>22651</f>
        <v>22651</v>
      </c>
    </row>
    <row r="31" spans="1:2" x14ac:dyDescent="0.2">
      <c r="A31" s="3" t="s">
        <v>37</v>
      </c>
      <c r="B31" s="6">
        <f>B30</f>
        <v>22651</v>
      </c>
    </row>
    <row r="32" spans="1:2" x14ac:dyDescent="0.2">
      <c r="A32" s="3" t="s">
        <v>38</v>
      </c>
      <c r="B32" s="6">
        <f>(B28)+(B31)</f>
        <v>128467.44</v>
      </c>
    </row>
    <row r="33" spans="1:2" x14ac:dyDescent="0.2">
      <c r="A33" s="3" t="s">
        <v>39</v>
      </c>
      <c r="B33" s="6">
        <f>B32</f>
        <v>128467.44</v>
      </c>
    </row>
    <row r="34" spans="1:2" x14ac:dyDescent="0.2">
      <c r="A34" s="3" t="s">
        <v>40</v>
      </c>
      <c r="B34" s="4"/>
    </row>
    <row r="35" spans="1:2" x14ac:dyDescent="0.2">
      <c r="A35" s="3" t="s">
        <v>41</v>
      </c>
      <c r="B35" s="5">
        <f>2889467.22</f>
        <v>2889467.22</v>
      </c>
    </row>
    <row r="36" spans="1:2" x14ac:dyDescent="0.2">
      <c r="A36" s="3" t="s">
        <v>42</v>
      </c>
      <c r="B36" s="5">
        <f>-336980.35</f>
        <v>-336980.35</v>
      </c>
    </row>
    <row r="37" spans="1:2" x14ac:dyDescent="0.2">
      <c r="A37" s="3" t="s">
        <v>43</v>
      </c>
      <c r="B37" s="6">
        <f>(B35)+(B36)</f>
        <v>2552486.87</v>
      </c>
    </row>
    <row r="38" spans="1:2" x14ac:dyDescent="0.2">
      <c r="A38" s="3" t="s">
        <v>44</v>
      </c>
      <c r="B38" s="6">
        <f>(B33)+(B37)</f>
        <v>2680954.31</v>
      </c>
    </row>
    <row r="39" spans="1:2" x14ac:dyDescent="0.2">
      <c r="A39" s="3"/>
      <c r="B39" s="4"/>
    </row>
    <row r="42" spans="1:2" x14ac:dyDescent="0.2">
      <c r="A42" s="7" t="s">
        <v>45</v>
      </c>
      <c r="B42" s="8"/>
    </row>
  </sheetData>
  <mergeCells count="4">
    <mergeCell ref="A42:B42"/>
    <mergeCell ref="A1:B1"/>
    <mergeCell ref="A2:B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4AA8A-A6E3-4E80-9541-F80B3E8D2EEC}">
  <dimension ref="A1:D44"/>
  <sheetViews>
    <sheetView workbookViewId="0">
      <selection sqref="A1:D1"/>
    </sheetView>
  </sheetViews>
  <sheetFormatPr baseColWidth="10" defaultColWidth="8.83203125" defaultRowHeight="15" x14ac:dyDescent="0.2"/>
  <cols>
    <col min="1" max="1" width="37" customWidth="1"/>
    <col min="2" max="3" width="12" customWidth="1"/>
    <col min="4" max="4" width="13.6640625" customWidth="1"/>
  </cols>
  <sheetData>
    <row r="1" spans="1:4" ht="18" x14ac:dyDescent="0.2">
      <c r="A1" s="9" t="s">
        <v>8</v>
      </c>
      <c r="B1" s="8"/>
      <c r="C1" s="8"/>
      <c r="D1" s="8"/>
    </row>
    <row r="2" spans="1:4" ht="18" x14ac:dyDescent="0.2">
      <c r="A2" s="9" t="s">
        <v>51</v>
      </c>
      <c r="B2" s="8"/>
      <c r="C2" s="8"/>
      <c r="D2" s="8"/>
    </row>
    <row r="3" spans="1:4" x14ac:dyDescent="0.2">
      <c r="A3" s="10" t="s">
        <v>10</v>
      </c>
      <c r="B3" s="8"/>
      <c r="C3" s="8"/>
      <c r="D3" s="8"/>
    </row>
    <row r="5" spans="1:4" x14ac:dyDescent="0.2">
      <c r="A5" s="1"/>
      <c r="B5" s="11" t="s">
        <v>5</v>
      </c>
      <c r="C5" s="12"/>
      <c r="D5" s="12"/>
    </row>
    <row r="6" spans="1:4" ht="27" x14ac:dyDescent="0.2">
      <c r="A6" s="1"/>
      <c r="B6" s="2" t="s">
        <v>50</v>
      </c>
      <c r="C6" s="2" t="s">
        <v>49</v>
      </c>
      <c r="D6" s="2" t="s">
        <v>48</v>
      </c>
    </row>
    <row r="7" spans="1:4" x14ac:dyDescent="0.2">
      <c r="A7" s="3" t="s">
        <v>12</v>
      </c>
      <c r="B7" s="4"/>
      <c r="C7" s="4"/>
      <c r="D7" s="4"/>
    </row>
    <row r="8" spans="1:4" x14ac:dyDescent="0.2">
      <c r="A8" s="3" t="s">
        <v>13</v>
      </c>
      <c r="B8" s="4"/>
      <c r="C8" s="4"/>
      <c r="D8" s="4"/>
    </row>
    <row r="9" spans="1:4" x14ac:dyDescent="0.2">
      <c r="A9" s="3" t="s">
        <v>14</v>
      </c>
      <c r="B9" s="4"/>
      <c r="C9" s="4"/>
      <c r="D9" s="4"/>
    </row>
    <row r="10" spans="1:4" x14ac:dyDescent="0.2">
      <c r="A10" s="3" t="s">
        <v>15</v>
      </c>
      <c r="B10" s="5">
        <f>932898.37</f>
        <v>932898.37</v>
      </c>
      <c r="C10" s="5">
        <f>577964.76</f>
        <v>577964.76</v>
      </c>
      <c r="D10" s="5">
        <f>(B10)-(C10)</f>
        <v>354933.61</v>
      </c>
    </row>
    <row r="11" spans="1:4" x14ac:dyDescent="0.2">
      <c r="A11" s="3" t="s">
        <v>16</v>
      </c>
      <c r="B11" s="5">
        <f>532439.05</f>
        <v>532439.05000000005</v>
      </c>
      <c r="C11" s="5">
        <f>525138.63</f>
        <v>525138.63</v>
      </c>
      <c r="D11" s="5">
        <f>(B11)-(C11)</f>
        <v>7300.4200000000419</v>
      </c>
    </row>
    <row r="12" spans="1:4" x14ac:dyDescent="0.2">
      <c r="A12" s="3" t="s">
        <v>17</v>
      </c>
      <c r="B12" s="5">
        <f>1200155.01</f>
        <v>1200155.01</v>
      </c>
      <c r="C12" s="5">
        <f>3000456.66</f>
        <v>3000456.66</v>
      </c>
      <c r="D12" s="5">
        <f>(B12)-(C12)</f>
        <v>-1800301.6500000001</v>
      </c>
    </row>
    <row r="13" spans="1:4" x14ac:dyDescent="0.2">
      <c r="A13" s="3" t="s">
        <v>18</v>
      </c>
      <c r="B13" s="6">
        <f>((B10)+(B11))+(B12)</f>
        <v>2665492.4299999997</v>
      </c>
      <c r="C13" s="6">
        <f>((C10)+(C11))+(C12)</f>
        <v>4103560.0500000003</v>
      </c>
      <c r="D13" s="6">
        <f>(B13)-(C13)</f>
        <v>-1438067.6200000006</v>
      </c>
    </row>
    <row r="14" spans="1:4" x14ac:dyDescent="0.2">
      <c r="A14" s="3" t="s">
        <v>19</v>
      </c>
      <c r="B14" s="4"/>
      <c r="C14" s="4"/>
      <c r="D14" s="4"/>
    </row>
    <row r="15" spans="1:4" x14ac:dyDescent="0.2">
      <c r="A15" s="3" t="s">
        <v>20</v>
      </c>
      <c r="B15" s="5">
        <f>8444.88</f>
        <v>8444.8799999999992</v>
      </c>
      <c r="C15" s="5">
        <f>8444.88</f>
        <v>8444.8799999999992</v>
      </c>
      <c r="D15" s="5">
        <f>(B15)-(C15)</f>
        <v>0</v>
      </c>
    </row>
    <row r="16" spans="1:4" x14ac:dyDescent="0.2">
      <c r="A16" s="3" t="s">
        <v>21</v>
      </c>
      <c r="B16" s="5">
        <f>7017</f>
        <v>7017</v>
      </c>
      <c r="C16" s="5">
        <f>3799</f>
        <v>3799</v>
      </c>
      <c r="D16" s="5">
        <f>(B16)-(C16)</f>
        <v>3218</v>
      </c>
    </row>
    <row r="17" spans="1:4" x14ac:dyDescent="0.2">
      <c r="A17" s="3" t="s">
        <v>22</v>
      </c>
      <c r="B17" s="6">
        <f>(B15)+(B16)</f>
        <v>15461.88</v>
      </c>
      <c r="C17" s="6">
        <f>(C15)+(C16)</f>
        <v>12243.88</v>
      </c>
      <c r="D17" s="6">
        <f>(B17)-(C17)</f>
        <v>3218</v>
      </c>
    </row>
    <row r="18" spans="1:4" x14ac:dyDescent="0.2">
      <c r="A18" s="3" t="s">
        <v>23</v>
      </c>
      <c r="B18" s="6">
        <f>(B13)+(B17)</f>
        <v>2680954.3099999996</v>
      </c>
      <c r="C18" s="6">
        <f>(C13)+(C17)</f>
        <v>4115803.93</v>
      </c>
      <c r="D18" s="6">
        <f>(B18)-(C18)</f>
        <v>-1434849.6200000006</v>
      </c>
    </row>
    <row r="19" spans="1:4" x14ac:dyDescent="0.2">
      <c r="A19" s="3" t="s">
        <v>24</v>
      </c>
      <c r="B19" s="6">
        <f>B18</f>
        <v>2680954.3099999996</v>
      </c>
      <c r="C19" s="6">
        <f>C18</f>
        <v>4115803.93</v>
      </c>
      <c r="D19" s="6">
        <f>(B19)-(C19)</f>
        <v>-1434849.6200000006</v>
      </c>
    </row>
    <row r="20" spans="1:4" x14ac:dyDescent="0.2">
      <c r="A20" s="3" t="s">
        <v>25</v>
      </c>
      <c r="B20" s="4"/>
      <c r="C20" s="4"/>
      <c r="D20" s="4"/>
    </row>
    <row r="21" spans="1:4" x14ac:dyDescent="0.2">
      <c r="A21" s="3" t="s">
        <v>26</v>
      </c>
      <c r="B21" s="4"/>
      <c r="C21" s="4"/>
      <c r="D21" s="4"/>
    </row>
    <row r="22" spans="1:4" x14ac:dyDescent="0.2">
      <c r="A22" s="3" t="s">
        <v>27</v>
      </c>
      <c r="B22" s="4"/>
      <c r="C22" s="4"/>
      <c r="D22" s="4"/>
    </row>
    <row r="23" spans="1:4" x14ac:dyDescent="0.2">
      <c r="A23" s="3" t="s">
        <v>28</v>
      </c>
      <c r="B23" s="4"/>
      <c r="C23" s="4"/>
      <c r="D23" s="4"/>
    </row>
    <row r="24" spans="1:4" x14ac:dyDescent="0.2">
      <c r="A24" s="3" t="s">
        <v>29</v>
      </c>
      <c r="B24" s="5">
        <f>0</f>
        <v>0</v>
      </c>
      <c r="C24" s="5">
        <f>0</f>
        <v>0</v>
      </c>
      <c r="D24" s="5">
        <f t="shared" ref="D24:D30" si="0">(B24)-(C24)</f>
        <v>0</v>
      </c>
    </row>
    <row r="25" spans="1:4" x14ac:dyDescent="0.2">
      <c r="A25" s="3" t="s">
        <v>30</v>
      </c>
      <c r="B25" s="5">
        <f>2617.59</f>
        <v>2617.59</v>
      </c>
      <c r="C25" s="5">
        <f>0</f>
        <v>0</v>
      </c>
      <c r="D25" s="5">
        <f t="shared" si="0"/>
        <v>2617.59</v>
      </c>
    </row>
    <row r="26" spans="1:4" x14ac:dyDescent="0.2">
      <c r="A26" s="3" t="s">
        <v>31</v>
      </c>
      <c r="B26" s="5">
        <f>7340.85</f>
        <v>7340.85</v>
      </c>
      <c r="C26" s="4"/>
      <c r="D26" s="5">
        <f t="shared" si="0"/>
        <v>7340.85</v>
      </c>
    </row>
    <row r="27" spans="1:4" x14ac:dyDescent="0.2">
      <c r="A27" s="3" t="s">
        <v>47</v>
      </c>
      <c r="B27" s="5">
        <f>0</f>
        <v>0</v>
      </c>
      <c r="C27" s="5">
        <f>479.34</f>
        <v>479.34</v>
      </c>
      <c r="D27" s="5">
        <f t="shared" si="0"/>
        <v>-479.34</v>
      </c>
    </row>
    <row r="28" spans="1:4" x14ac:dyDescent="0.2">
      <c r="A28" s="3" t="s">
        <v>32</v>
      </c>
      <c r="B28" s="6">
        <f>(((B24)+(B25))+(B26))+(B27)</f>
        <v>9958.44</v>
      </c>
      <c r="C28" s="6">
        <f>(((C24)+(C25))+(C26))+(C27)</f>
        <v>479.34</v>
      </c>
      <c r="D28" s="6">
        <f t="shared" si="0"/>
        <v>9479.1</v>
      </c>
    </row>
    <row r="29" spans="1:4" x14ac:dyDescent="0.2">
      <c r="A29" s="3" t="s">
        <v>33</v>
      </c>
      <c r="B29" s="5">
        <f>95858</f>
        <v>95858</v>
      </c>
      <c r="C29" s="4"/>
      <c r="D29" s="5">
        <f t="shared" si="0"/>
        <v>95858</v>
      </c>
    </row>
    <row r="30" spans="1:4" x14ac:dyDescent="0.2">
      <c r="A30" s="3" t="s">
        <v>34</v>
      </c>
      <c r="B30" s="6">
        <f>(B28)+(B29)</f>
        <v>105816.44</v>
      </c>
      <c r="C30" s="6">
        <f>(C28)+(C29)</f>
        <v>479.34</v>
      </c>
      <c r="D30" s="6">
        <f t="shared" si="0"/>
        <v>105337.1</v>
      </c>
    </row>
    <row r="31" spans="1:4" x14ac:dyDescent="0.2">
      <c r="A31" s="3" t="s">
        <v>35</v>
      </c>
      <c r="B31" s="4"/>
      <c r="C31" s="4"/>
      <c r="D31" s="4"/>
    </row>
    <row r="32" spans="1:4" x14ac:dyDescent="0.2">
      <c r="A32" s="3" t="s">
        <v>36</v>
      </c>
      <c r="B32" s="5">
        <f>22651</f>
        <v>22651</v>
      </c>
      <c r="C32" s="4"/>
      <c r="D32" s="5">
        <f>(B32)-(C32)</f>
        <v>22651</v>
      </c>
    </row>
    <row r="33" spans="1:4" x14ac:dyDescent="0.2">
      <c r="A33" s="3" t="s">
        <v>37</v>
      </c>
      <c r="B33" s="6">
        <f>B32</f>
        <v>22651</v>
      </c>
      <c r="C33" s="6">
        <f>C32</f>
        <v>0</v>
      </c>
      <c r="D33" s="6">
        <f>(B33)-(C33)</f>
        <v>22651</v>
      </c>
    </row>
    <row r="34" spans="1:4" x14ac:dyDescent="0.2">
      <c r="A34" s="3" t="s">
        <v>38</v>
      </c>
      <c r="B34" s="6">
        <f>(B30)+(B33)</f>
        <v>128467.44</v>
      </c>
      <c r="C34" s="6">
        <f>(C30)+(C33)</f>
        <v>479.34</v>
      </c>
      <c r="D34" s="6">
        <f>(B34)-(C34)</f>
        <v>127988.1</v>
      </c>
    </row>
    <row r="35" spans="1:4" x14ac:dyDescent="0.2">
      <c r="A35" s="3" t="s">
        <v>39</v>
      </c>
      <c r="B35" s="6">
        <f>B34</f>
        <v>128467.44</v>
      </c>
      <c r="C35" s="6">
        <f>C34</f>
        <v>479.34</v>
      </c>
      <c r="D35" s="6">
        <f>(B35)-(C35)</f>
        <v>127988.1</v>
      </c>
    </row>
    <row r="36" spans="1:4" x14ac:dyDescent="0.2">
      <c r="A36" s="3" t="s">
        <v>40</v>
      </c>
      <c r="B36" s="4"/>
      <c r="C36" s="4"/>
      <c r="D36" s="4"/>
    </row>
    <row r="37" spans="1:4" x14ac:dyDescent="0.2">
      <c r="A37" s="3" t="s">
        <v>41</v>
      </c>
      <c r="B37" s="5">
        <f>2889467.22</f>
        <v>2889467.22</v>
      </c>
      <c r="C37" s="5">
        <f>5109130.2</f>
        <v>5109130.2</v>
      </c>
      <c r="D37" s="5">
        <f>(B37)-(C37)</f>
        <v>-2219662.98</v>
      </c>
    </row>
    <row r="38" spans="1:4" x14ac:dyDescent="0.2">
      <c r="A38" s="3" t="s">
        <v>42</v>
      </c>
      <c r="B38" s="5">
        <f>-336980.35</f>
        <v>-336980.35</v>
      </c>
      <c r="C38" s="5">
        <f>-993805.61</f>
        <v>-993805.61</v>
      </c>
      <c r="D38" s="5">
        <f>(B38)-(C38)</f>
        <v>656825.26</v>
      </c>
    </row>
    <row r="39" spans="1:4" x14ac:dyDescent="0.2">
      <c r="A39" s="3" t="s">
        <v>43</v>
      </c>
      <c r="B39" s="6">
        <f>(B37)+(B38)</f>
        <v>2552486.87</v>
      </c>
      <c r="C39" s="6">
        <f>(C37)+(C38)</f>
        <v>4115324.5900000003</v>
      </c>
      <c r="D39" s="6">
        <f>(B39)-(C39)</f>
        <v>-1562837.7200000002</v>
      </c>
    </row>
    <row r="40" spans="1:4" x14ac:dyDescent="0.2">
      <c r="A40" s="3" t="s">
        <v>44</v>
      </c>
      <c r="B40" s="6">
        <f>(B35)+(B39)</f>
        <v>2680954.31</v>
      </c>
      <c r="C40" s="6">
        <f>(C35)+(C39)</f>
        <v>4115803.93</v>
      </c>
      <c r="D40" s="6">
        <f>(B40)-(C40)</f>
        <v>-1434849.62</v>
      </c>
    </row>
    <row r="41" spans="1:4" x14ac:dyDescent="0.2">
      <c r="A41" s="3"/>
      <c r="B41" s="4"/>
      <c r="C41" s="4"/>
      <c r="D41" s="4"/>
    </row>
    <row r="44" spans="1:4" x14ac:dyDescent="0.2">
      <c r="A44" s="7" t="s">
        <v>46</v>
      </c>
      <c r="B44" s="8"/>
      <c r="C44" s="8"/>
      <c r="D44" s="8"/>
    </row>
  </sheetData>
  <mergeCells count="5">
    <mergeCell ref="B5:D5"/>
    <mergeCell ref="A44:D44"/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C5F8D-C9F0-4194-8674-993A31B48FA7}">
  <dimension ref="A1:B107"/>
  <sheetViews>
    <sheetView tabSelected="1" topLeftCell="A28" workbookViewId="0">
      <selection sqref="A1:B1"/>
    </sheetView>
  </sheetViews>
  <sheetFormatPr baseColWidth="10" defaultColWidth="8.83203125" defaultRowHeight="15" x14ac:dyDescent="0.2"/>
  <cols>
    <col min="1" max="1" width="31.83203125" customWidth="1"/>
    <col min="2" max="2" width="13.6640625" customWidth="1"/>
  </cols>
  <sheetData>
    <row r="1" spans="1:2" ht="18" x14ac:dyDescent="0.2">
      <c r="A1" s="9" t="s">
        <v>8</v>
      </c>
      <c r="B1" s="8"/>
    </row>
    <row r="2" spans="1:2" ht="18" x14ac:dyDescent="0.2">
      <c r="A2" s="9" t="s">
        <v>152</v>
      </c>
      <c r="B2" s="8"/>
    </row>
    <row r="3" spans="1:2" x14ac:dyDescent="0.2">
      <c r="A3" s="10" t="s">
        <v>151</v>
      </c>
      <c r="B3" s="8"/>
    </row>
    <row r="5" spans="1:2" x14ac:dyDescent="0.2">
      <c r="A5" s="1"/>
      <c r="B5" s="2" t="s">
        <v>5</v>
      </c>
    </row>
    <row r="6" spans="1:2" x14ac:dyDescent="0.2">
      <c r="A6" s="3" t="s">
        <v>150</v>
      </c>
      <c r="B6" s="4"/>
    </row>
    <row r="7" spans="1:2" x14ac:dyDescent="0.2">
      <c r="A7" s="3" t="s">
        <v>149</v>
      </c>
      <c r="B7" s="4"/>
    </row>
    <row r="8" spans="1:2" x14ac:dyDescent="0.2">
      <c r="A8" s="3" t="s">
        <v>148</v>
      </c>
      <c r="B8" s="5">
        <f>394262.59</f>
        <v>394262.59</v>
      </c>
    </row>
    <row r="9" spans="1:2" x14ac:dyDescent="0.2">
      <c r="A9" s="3" t="s">
        <v>147</v>
      </c>
      <c r="B9" s="5">
        <f>11053.74</f>
        <v>11053.74</v>
      </c>
    </row>
    <row r="10" spans="1:2" x14ac:dyDescent="0.2">
      <c r="A10" s="3" t="s">
        <v>146</v>
      </c>
      <c r="B10" s="5">
        <f>189921.15</f>
        <v>189921.15</v>
      </c>
    </row>
    <row r="11" spans="1:2" x14ac:dyDescent="0.2">
      <c r="A11" s="3" t="s">
        <v>145</v>
      </c>
      <c r="B11" s="6">
        <f>(((B7)+(B8))+(B9))+(B10)</f>
        <v>595237.48</v>
      </c>
    </row>
    <row r="12" spans="1:2" x14ac:dyDescent="0.2">
      <c r="A12" s="3" t="s">
        <v>144</v>
      </c>
      <c r="B12" s="4"/>
    </row>
    <row r="13" spans="1:2" x14ac:dyDescent="0.2">
      <c r="A13" s="3" t="s">
        <v>143</v>
      </c>
      <c r="B13" s="5">
        <f>35286.16</f>
        <v>35286.160000000003</v>
      </c>
    </row>
    <row r="14" spans="1:2" x14ac:dyDescent="0.2">
      <c r="A14" s="3" t="s">
        <v>142</v>
      </c>
      <c r="B14" s="5">
        <f>40275.26</f>
        <v>40275.26</v>
      </c>
    </row>
    <row r="15" spans="1:2" x14ac:dyDescent="0.2">
      <c r="A15" s="3" t="s">
        <v>141</v>
      </c>
      <c r="B15" s="6">
        <f>((B12)+(B13))+(B14)</f>
        <v>75561.420000000013</v>
      </c>
    </row>
    <row r="16" spans="1:2" x14ac:dyDescent="0.2">
      <c r="A16" s="3" t="s">
        <v>140</v>
      </c>
      <c r="B16" s="6">
        <f>(B11)+(B15)</f>
        <v>670798.9</v>
      </c>
    </row>
    <row r="17" spans="1:2" x14ac:dyDescent="0.2">
      <c r="A17" s="3" t="s">
        <v>139</v>
      </c>
      <c r="B17" s="6">
        <f>(B16)-(0)</f>
        <v>670798.9</v>
      </c>
    </row>
    <row r="18" spans="1:2" x14ac:dyDescent="0.2">
      <c r="A18" s="3" t="s">
        <v>138</v>
      </c>
      <c r="B18" s="4"/>
    </row>
    <row r="19" spans="1:2" x14ac:dyDescent="0.2">
      <c r="A19" s="3" t="s">
        <v>137</v>
      </c>
      <c r="B19" s="4"/>
    </row>
    <row r="20" spans="1:2" x14ac:dyDescent="0.2">
      <c r="A20" s="3" t="s">
        <v>136</v>
      </c>
      <c r="B20" s="5">
        <f>858</f>
        <v>858</v>
      </c>
    </row>
    <row r="21" spans="1:2" x14ac:dyDescent="0.2">
      <c r="A21" s="3" t="s">
        <v>135</v>
      </c>
      <c r="B21" s="5">
        <f>996.46</f>
        <v>996.46</v>
      </c>
    </row>
    <row r="22" spans="1:2" x14ac:dyDescent="0.2">
      <c r="A22" s="3" t="s">
        <v>134</v>
      </c>
      <c r="B22" s="5">
        <f>68808.29</f>
        <v>68808.289999999994</v>
      </c>
    </row>
    <row r="23" spans="1:2" x14ac:dyDescent="0.2">
      <c r="A23" s="3" t="s">
        <v>133</v>
      </c>
      <c r="B23" s="5">
        <f>3888.27</f>
        <v>3888.27</v>
      </c>
    </row>
    <row r="24" spans="1:2" x14ac:dyDescent="0.2">
      <c r="A24" s="3" t="s">
        <v>132</v>
      </c>
      <c r="B24" s="5">
        <f>4450</f>
        <v>4450</v>
      </c>
    </row>
    <row r="25" spans="1:2" x14ac:dyDescent="0.2">
      <c r="A25" s="3" t="s">
        <v>131</v>
      </c>
      <c r="B25" s="5">
        <f>18500</f>
        <v>18500</v>
      </c>
    </row>
    <row r="26" spans="1:2" x14ac:dyDescent="0.2">
      <c r="A26" s="3" t="s">
        <v>130</v>
      </c>
      <c r="B26" s="5">
        <f>7185</f>
        <v>7185</v>
      </c>
    </row>
    <row r="27" spans="1:2" x14ac:dyDescent="0.2">
      <c r="A27" s="3" t="s">
        <v>129</v>
      </c>
      <c r="B27" s="5">
        <f>41611.79</f>
        <v>41611.79</v>
      </c>
    </row>
    <row r="28" spans="1:2" x14ac:dyDescent="0.2">
      <c r="A28" s="3" t="s">
        <v>128</v>
      </c>
      <c r="B28" s="4"/>
    </row>
    <row r="29" spans="1:2" x14ac:dyDescent="0.2">
      <c r="A29" s="3" t="s">
        <v>127</v>
      </c>
      <c r="B29" s="5">
        <f>8384.92</f>
        <v>8384.92</v>
      </c>
    </row>
    <row r="30" spans="1:2" x14ac:dyDescent="0.2">
      <c r="A30" s="3" t="s">
        <v>126</v>
      </c>
      <c r="B30" s="5">
        <f>206.64</f>
        <v>206.64</v>
      </c>
    </row>
    <row r="31" spans="1:2" x14ac:dyDescent="0.2">
      <c r="A31" s="3" t="s">
        <v>125</v>
      </c>
      <c r="B31" s="5">
        <f>426.66</f>
        <v>426.66</v>
      </c>
    </row>
    <row r="32" spans="1:2" x14ac:dyDescent="0.2">
      <c r="A32" s="3" t="s">
        <v>124</v>
      </c>
      <c r="B32" s="6">
        <f>(((B28)+(B29))+(B30))+(B31)</f>
        <v>9018.2199999999993</v>
      </c>
    </row>
    <row r="33" spans="1:2" x14ac:dyDescent="0.2">
      <c r="A33" s="3" t="s">
        <v>123</v>
      </c>
      <c r="B33" s="5">
        <f>10633.69</f>
        <v>10633.69</v>
      </c>
    </row>
    <row r="34" spans="1:2" x14ac:dyDescent="0.2">
      <c r="A34" s="3" t="s">
        <v>122</v>
      </c>
      <c r="B34" s="5">
        <f>7829.45</f>
        <v>7829.45</v>
      </c>
    </row>
    <row r="35" spans="1:2" x14ac:dyDescent="0.2">
      <c r="A35" s="3" t="s">
        <v>121</v>
      </c>
      <c r="B35" s="5">
        <f>6387.5</f>
        <v>6387.5</v>
      </c>
    </row>
    <row r="36" spans="1:2" x14ac:dyDescent="0.2">
      <c r="A36" s="3" t="s">
        <v>120</v>
      </c>
      <c r="B36" s="5">
        <f>6958.61</f>
        <v>6958.61</v>
      </c>
    </row>
    <row r="37" spans="1:2" x14ac:dyDescent="0.2">
      <c r="A37" s="3" t="s">
        <v>119</v>
      </c>
      <c r="B37" s="5">
        <f>47785.98</f>
        <v>47785.98</v>
      </c>
    </row>
    <row r="38" spans="1:2" x14ac:dyDescent="0.2">
      <c r="A38" s="3" t="s">
        <v>118</v>
      </c>
      <c r="B38" s="6">
        <f>((((((((((((((B19)+(B20))+(B21))+(B22))+(B23))+(B24))+(B25))+(B26))+(B27))+(B32))+(B33))+(B34))+(B35))+(B36))+(B37)</f>
        <v>234911.26</v>
      </c>
    </row>
    <row r="39" spans="1:2" x14ac:dyDescent="0.2">
      <c r="A39" s="3" t="s">
        <v>117</v>
      </c>
      <c r="B39" s="4"/>
    </row>
    <row r="40" spans="1:2" x14ac:dyDescent="0.2">
      <c r="A40" s="3" t="s">
        <v>116</v>
      </c>
      <c r="B40" s="5">
        <f>822.64</f>
        <v>822.64</v>
      </c>
    </row>
    <row r="41" spans="1:2" x14ac:dyDescent="0.2">
      <c r="A41" s="3" t="s">
        <v>115</v>
      </c>
      <c r="B41" s="5">
        <f>435.35</f>
        <v>435.35</v>
      </c>
    </row>
    <row r="42" spans="1:2" x14ac:dyDescent="0.2">
      <c r="A42" s="3" t="s">
        <v>114</v>
      </c>
      <c r="B42" s="5">
        <f>1482.65</f>
        <v>1482.65</v>
      </c>
    </row>
    <row r="43" spans="1:2" x14ac:dyDescent="0.2">
      <c r="A43" s="3" t="s">
        <v>113</v>
      </c>
      <c r="B43" s="6">
        <f>(((B39)+(B40))+(B41))+(B42)</f>
        <v>2740.6400000000003</v>
      </c>
    </row>
    <row r="44" spans="1:2" x14ac:dyDescent="0.2">
      <c r="A44" s="3" t="s">
        <v>112</v>
      </c>
      <c r="B44" s="4"/>
    </row>
    <row r="45" spans="1:2" x14ac:dyDescent="0.2">
      <c r="A45" s="3" t="s">
        <v>111</v>
      </c>
      <c r="B45" s="5">
        <f>1450.87</f>
        <v>1450.87</v>
      </c>
    </row>
    <row r="46" spans="1:2" x14ac:dyDescent="0.2">
      <c r="A46" s="3" t="s">
        <v>110</v>
      </c>
      <c r="B46" s="4"/>
    </row>
    <row r="47" spans="1:2" x14ac:dyDescent="0.2">
      <c r="A47" s="3" t="s">
        <v>109</v>
      </c>
      <c r="B47" s="5">
        <f>1500</f>
        <v>1500</v>
      </c>
    </row>
    <row r="48" spans="1:2" x14ac:dyDescent="0.2">
      <c r="A48" s="3" t="s">
        <v>108</v>
      </c>
      <c r="B48" s="5">
        <f>15000</f>
        <v>15000</v>
      </c>
    </row>
    <row r="49" spans="1:2" x14ac:dyDescent="0.2">
      <c r="A49" s="3" t="s">
        <v>107</v>
      </c>
      <c r="B49" s="5">
        <f>15000</f>
        <v>15000</v>
      </c>
    </row>
    <row r="50" spans="1:2" x14ac:dyDescent="0.2">
      <c r="A50" s="3" t="s">
        <v>106</v>
      </c>
      <c r="B50" s="5">
        <f>4884</f>
        <v>4884</v>
      </c>
    </row>
    <row r="51" spans="1:2" x14ac:dyDescent="0.2">
      <c r="A51" s="3" t="s">
        <v>105</v>
      </c>
      <c r="B51" s="5">
        <f>56700</f>
        <v>56700</v>
      </c>
    </row>
    <row r="52" spans="1:2" x14ac:dyDescent="0.2">
      <c r="A52" s="3" t="s">
        <v>104</v>
      </c>
      <c r="B52" s="5">
        <f>3200</f>
        <v>3200</v>
      </c>
    </row>
    <row r="53" spans="1:2" x14ac:dyDescent="0.2">
      <c r="A53" s="3" t="s">
        <v>103</v>
      </c>
      <c r="B53" s="5">
        <f>1675.93</f>
        <v>1675.93</v>
      </c>
    </row>
    <row r="54" spans="1:2" x14ac:dyDescent="0.2">
      <c r="A54" s="3" t="s">
        <v>102</v>
      </c>
      <c r="B54" s="5">
        <f>12536.25</f>
        <v>12536.25</v>
      </c>
    </row>
    <row r="55" spans="1:2" x14ac:dyDescent="0.2">
      <c r="A55" s="3" t="s">
        <v>101</v>
      </c>
      <c r="B55" s="5">
        <f>9450</f>
        <v>9450</v>
      </c>
    </row>
    <row r="56" spans="1:2" x14ac:dyDescent="0.2">
      <c r="A56" s="3" t="s">
        <v>100</v>
      </c>
      <c r="B56" s="5">
        <f>1369.5</f>
        <v>1369.5</v>
      </c>
    </row>
    <row r="57" spans="1:2" x14ac:dyDescent="0.2">
      <c r="A57" s="3" t="s">
        <v>99</v>
      </c>
      <c r="B57" s="5">
        <f>1402.5</f>
        <v>1402.5</v>
      </c>
    </row>
    <row r="58" spans="1:2" x14ac:dyDescent="0.2">
      <c r="A58" s="3" t="s">
        <v>98</v>
      </c>
      <c r="B58" s="5">
        <f>9875</f>
        <v>9875</v>
      </c>
    </row>
    <row r="59" spans="1:2" x14ac:dyDescent="0.2">
      <c r="A59" s="3" t="s">
        <v>97</v>
      </c>
      <c r="B59" s="6">
        <f>((((((((((((B46)+(B47))+(B48))+(B49))+(B50))+(B51))+(B52))+(B53))+(B54))+(B55))+(B56))+(B57))+(B58)</f>
        <v>132593.18</v>
      </c>
    </row>
    <row r="60" spans="1:2" x14ac:dyDescent="0.2">
      <c r="A60" s="3" t="s">
        <v>96</v>
      </c>
      <c r="B60" s="5">
        <f>3793</f>
        <v>3793</v>
      </c>
    </row>
    <row r="61" spans="1:2" x14ac:dyDescent="0.2">
      <c r="A61" s="3" t="s">
        <v>95</v>
      </c>
      <c r="B61" s="5">
        <f>3035</f>
        <v>3035</v>
      </c>
    </row>
    <row r="62" spans="1:2" x14ac:dyDescent="0.2">
      <c r="A62" s="3" t="s">
        <v>94</v>
      </c>
      <c r="B62" s="6">
        <f>(B60)+(B61)</f>
        <v>6828</v>
      </c>
    </row>
    <row r="63" spans="1:2" x14ac:dyDescent="0.2">
      <c r="A63" s="3" t="s">
        <v>93</v>
      </c>
      <c r="B63" s="5">
        <f>119.96</f>
        <v>119.96</v>
      </c>
    </row>
    <row r="64" spans="1:2" x14ac:dyDescent="0.2">
      <c r="A64" s="3" t="s">
        <v>92</v>
      </c>
      <c r="B64" s="5">
        <f>3669.35</f>
        <v>3669.35</v>
      </c>
    </row>
    <row r="65" spans="1:2" x14ac:dyDescent="0.2">
      <c r="A65" s="3" t="s">
        <v>91</v>
      </c>
      <c r="B65" s="5">
        <f>1399.81</f>
        <v>1399.81</v>
      </c>
    </row>
    <row r="66" spans="1:2" x14ac:dyDescent="0.2">
      <c r="A66" s="3" t="s">
        <v>90</v>
      </c>
      <c r="B66" s="4"/>
    </row>
    <row r="67" spans="1:2" x14ac:dyDescent="0.2">
      <c r="A67" s="3" t="s">
        <v>89</v>
      </c>
      <c r="B67" s="5">
        <f>1800</f>
        <v>1800</v>
      </c>
    </row>
    <row r="68" spans="1:2" x14ac:dyDescent="0.2">
      <c r="A68" s="3" t="s">
        <v>88</v>
      </c>
      <c r="B68" s="5">
        <f>2400</f>
        <v>2400</v>
      </c>
    </row>
    <row r="69" spans="1:2" x14ac:dyDescent="0.2">
      <c r="A69" s="3" t="s">
        <v>87</v>
      </c>
      <c r="B69" s="5">
        <f>4365</f>
        <v>4365</v>
      </c>
    </row>
    <row r="70" spans="1:2" x14ac:dyDescent="0.2">
      <c r="A70" s="3" t="s">
        <v>86</v>
      </c>
      <c r="B70" s="6">
        <f>(((B66)+(B67))+(B68))+(B69)</f>
        <v>8565</v>
      </c>
    </row>
    <row r="71" spans="1:2" x14ac:dyDescent="0.2">
      <c r="A71" s="3" t="s">
        <v>85</v>
      </c>
      <c r="B71" s="5">
        <f>3348.43</f>
        <v>3348.43</v>
      </c>
    </row>
    <row r="72" spans="1:2" x14ac:dyDescent="0.2">
      <c r="A72" s="3" t="s">
        <v>84</v>
      </c>
      <c r="B72" s="4"/>
    </row>
    <row r="73" spans="1:2" x14ac:dyDescent="0.2">
      <c r="A73" s="3" t="s">
        <v>83</v>
      </c>
      <c r="B73" s="5">
        <f>199</f>
        <v>199</v>
      </c>
    </row>
    <row r="74" spans="1:2" x14ac:dyDescent="0.2">
      <c r="A74" s="3" t="s">
        <v>82</v>
      </c>
      <c r="B74" s="5">
        <f>19500</f>
        <v>19500</v>
      </c>
    </row>
    <row r="75" spans="1:2" x14ac:dyDescent="0.2">
      <c r="A75" s="3" t="s">
        <v>81</v>
      </c>
      <c r="B75" s="6">
        <f>((B72)+(B73))+(B74)</f>
        <v>19699</v>
      </c>
    </row>
    <row r="76" spans="1:2" x14ac:dyDescent="0.2">
      <c r="A76" s="3" t="s">
        <v>80</v>
      </c>
      <c r="B76" s="6">
        <f>(((((((((B44)+(B45))+(B59))+(B62))+(B63))+(B64))+(B65))+(B70))+(B71))+(B75)</f>
        <v>177673.59999999998</v>
      </c>
    </row>
    <row r="77" spans="1:2" x14ac:dyDescent="0.2">
      <c r="A77" s="3" t="s">
        <v>79</v>
      </c>
      <c r="B77" s="4"/>
    </row>
    <row r="78" spans="1:2" x14ac:dyDescent="0.2">
      <c r="A78" s="3" t="s">
        <v>78</v>
      </c>
      <c r="B78" s="5">
        <f>-1018.65</f>
        <v>-1018.65</v>
      </c>
    </row>
    <row r="79" spans="1:2" x14ac:dyDescent="0.2">
      <c r="A79" s="3" t="s">
        <v>77</v>
      </c>
      <c r="B79" s="5">
        <f>18190.38</f>
        <v>18190.38</v>
      </c>
    </row>
    <row r="80" spans="1:2" x14ac:dyDescent="0.2">
      <c r="A80" s="3" t="s">
        <v>76</v>
      </c>
      <c r="B80" s="5">
        <f>546.5</f>
        <v>546.5</v>
      </c>
    </row>
    <row r="81" spans="1:2" x14ac:dyDescent="0.2">
      <c r="A81" s="3" t="s">
        <v>75</v>
      </c>
      <c r="B81" s="5">
        <f>70833.2</f>
        <v>70833.2</v>
      </c>
    </row>
    <row r="82" spans="1:2" x14ac:dyDescent="0.2">
      <c r="A82" s="3" t="s">
        <v>74</v>
      </c>
      <c r="B82" s="5">
        <f>4819.59</f>
        <v>4819.59</v>
      </c>
    </row>
    <row r="83" spans="1:2" x14ac:dyDescent="0.2">
      <c r="A83" s="3" t="s">
        <v>73</v>
      </c>
      <c r="B83" s="5">
        <f>253.8</f>
        <v>253.8</v>
      </c>
    </row>
    <row r="84" spans="1:2" x14ac:dyDescent="0.2">
      <c r="A84" s="3" t="s">
        <v>72</v>
      </c>
      <c r="B84" s="6">
        <f>((((((B77)+(B78))+(B79))+(B80))+(B81))+(B82))+(B83)</f>
        <v>93624.819999999992</v>
      </c>
    </row>
    <row r="85" spans="1:2" x14ac:dyDescent="0.2">
      <c r="A85" s="3" t="s">
        <v>71</v>
      </c>
      <c r="B85" s="4"/>
    </row>
    <row r="86" spans="1:2" x14ac:dyDescent="0.2">
      <c r="A86" s="3" t="s">
        <v>70</v>
      </c>
      <c r="B86" s="5">
        <f>500</f>
        <v>500</v>
      </c>
    </row>
    <row r="87" spans="1:2" x14ac:dyDescent="0.2">
      <c r="A87" s="3" t="s">
        <v>69</v>
      </c>
      <c r="B87" s="5">
        <f>30</f>
        <v>30</v>
      </c>
    </row>
    <row r="88" spans="1:2" x14ac:dyDescent="0.2">
      <c r="A88" s="3" t="s">
        <v>68</v>
      </c>
      <c r="B88" s="5">
        <f>5220</f>
        <v>5220</v>
      </c>
    </row>
    <row r="89" spans="1:2" x14ac:dyDescent="0.2">
      <c r="A89" s="3" t="s">
        <v>67</v>
      </c>
      <c r="B89" s="5">
        <f>750</f>
        <v>750</v>
      </c>
    </row>
    <row r="90" spans="1:2" x14ac:dyDescent="0.2">
      <c r="A90" s="3" t="s">
        <v>66</v>
      </c>
      <c r="B90" s="5">
        <f>595</f>
        <v>595</v>
      </c>
    </row>
    <row r="91" spans="1:2" x14ac:dyDescent="0.2">
      <c r="A91" s="3" t="s">
        <v>65</v>
      </c>
      <c r="B91" s="6">
        <f>(((((B85)+(B86))+(B87))+(B88))+(B89))+(B90)</f>
        <v>7095</v>
      </c>
    </row>
    <row r="92" spans="1:2" x14ac:dyDescent="0.2">
      <c r="A92" s="3" t="s">
        <v>64</v>
      </c>
      <c r="B92" s="6">
        <f>((((B38)+(B43))+(B76))+(B84))+(B91)</f>
        <v>516045.32</v>
      </c>
    </row>
    <row r="93" spans="1:2" x14ac:dyDescent="0.2">
      <c r="A93" s="3" t="s">
        <v>63</v>
      </c>
      <c r="B93" s="6">
        <f>(B17)-(B92)</f>
        <v>154753.58000000002</v>
      </c>
    </row>
    <row r="94" spans="1:2" x14ac:dyDescent="0.2">
      <c r="A94" s="3" t="s">
        <v>62</v>
      </c>
      <c r="B94" s="4"/>
    </row>
    <row r="95" spans="1:2" x14ac:dyDescent="0.2">
      <c r="A95" s="3" t="s">
        <v>61</v>
      </c>
      <c r="B95" s="5">
        <f>29.91</f>
        <v>29.91</v>
      </c>
    </row>
    <row r="96" spans="1:2" x14ac:dyDescent="0.2">
      <c r="A96" s="3" t="s">
        <v>60</v>
      </c>
      <c r="B96" s="6">
        <f>B95</f>
        <v>29.91</v>
      </c>
    </row>
    <row r="97" spans="1:2" x14ac:dyDescent="0.2">
      <c r="A97" s="3" t="s">
        <v>59</v>
      </c>
      <c r="B97" s="4"/>
    </row>
    <row r="98" spans="1:2" x14ac:dyDescent="0.2">
      <c r="A98" s="3" t="s">
        <v>58</v>
      </c>
      <c r="B98" s="4"/>
    </row>
    <row r="99" spans="1:2" x14ac:dyDescent="0.2">
      <c r="A99" s="3" t="s">
        <v>57</v>
      </c>
      <c r="B99" s="5">
        <f>597.98</f>
        <v>597.98</v>
      </c>
    </row>
    <row r="100" spans="1:2" x14ac:dyDescent="0.2">
      <c r="A100" s="3" t="s">
        <v>56</v>
      </c>
      <c r="B100" s="6">
        <f>(B98)+(B99)</f>
        <v>597.98</v>
      </c>
    </row>
    <row r="101" spans="1:2" x14ac:dyDescent="0.2">
      <c r="A101" s="3" t="s">
        <v>55</v>
      </c>
      <c r="B101" s="6">
        <f>B100</f>
        <v>597.98</v>
      </c>
    </row>
    <row r="102" spans="1:2" x14ac:dyDescent="0.2">
      <c r="A102" s="3" t="s">
        <v>54</v>
      </c>
      <c r="B102" s="6">
        <f>(B96)-(B101)</f>
        <v>-568.07000000000005</v>
      </c>
    </row>
    <row r="103" spans="1:2" x14ac:dyDescent="0.2">
      <c r="A103" s="3" t="s">
        <v>53</v>
      </c>
      <c r="B103" s="6">
        <f>(B93)+(B102)</f>
        <v>154185.51</v>
      </c>
    </row>
    <row r="104" spans="1:2" x14ac:dyDescent="0.2">
      <c r="A104" s="3"/>
      <c r="B104" s="4"/>
    </row>
    <row r="107" spans="1:2" x14ac:dyDescent="0.2">
      <c r="A107" s="7" t="s">
        <v>52</v>
      </c>
      <c r="B107" s="8"/>
    </row>
  </sheetData>
  <mergeCells count="4">
    <mergeCell ref="A107:B107"/>
    <mergeCell ref="A1:B1"/>
    <mergeCell ref="A2:B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24373-42D1-4F58-8094-250B0028214C}">
  <dimension ref="A1:D127"/>
  <sheetViews>
    <sheetView topLeftCell="A55" workbookViewId="0">
      <selection activeCell="A92" sqref="A92"/>
    </sheetView>
  </sheetViews>
  <sheetFormatPr baseColWidth="10" defaultColWidth="8.83203125" defaultRowHeight="15" x14ac:dyDescent="0.2"/>
  <cols>
    <col min="1" max="1" width="31.83203125" customWidth="1"/>
    <col min="2" max="2" width="12" customWidth="1"/>
    <col min="3" max="3" width="13.6640625" customWidth="1"/>
    <col min="4" max="4" width="12" customWidth="1"/>
  </cols>
  <sheetData>
    <row r="1" spans="1:4" ht="18" x14ac:dyDescent="0.2">
      <c r="A1" s="9" t="s">
        <v>8</v>
      </c>
      <c r="B1" s="8"/>
      <c r="C1" s="8"/>
      <c r="D1" s="8"/>
    </row>
    <row r="2" spans="1:4" ht="18" x14ac:dyDescent="0.2">
      <c r="A2" s="9" t="s">
        <v>174</v>
      </c>
      <c r="B2" s="8"/>
      <c r="C2" s="8"/>
      <c r="D2" s="8"/>
    </row>
    <row r="3" spans="1:4" x14ac:dyDescent="0.2">
      <c r="A3" s="10" t="s">
        <v>151</v>
      </c>
      <c r="B3" s="8"/>
      <c r="C3" s="8"/>
      <c r="D3" s="8"/>
    </row>
    <row r="5" spans="1:4" x14ac:dyDescent="0.2">
      <c r="A5" s="1"/>
      <c r="B5" s="11" t="s">
        <v>5</v>
      </c>
      <c r="C5" s="12"/>
      <c r="D5" s="12"/>
    </row>
    <row r="6" spans="1:4" ht="27" x14ac:dyDescent="0.2">
      <c r="A6" s="1"/>
      <c r="B6" s="2" t="s">
        <v>173</v>
      </c>
      <c r="C6" s="2" t="s">
        <v>172</v>
      </c>
      <c r="D6" s="2" t="s">
        <v>48</v>
      </c>
    </row>
    <row r="7" spans="1:4" x14ac:dyDescent="0.2">
      <c r="A7" s="3" t="s">
        <v>150</v>
      </c>
      <c r="B7" s="4"/>
      <c r="C7" s="4"/>
      <c r="D7" s="4"/>
    </row>
    <row r="8" spans="1:4" x14ac:dyDescent="0.2">
      <c r="A8" s="3" t="s">
        <v>149</v>
      </c>
      <c r="B8" s="4"/>
      <c r="C8" s="4"/>
      <c r="D8" s="5">
        <f t="shared" ref="D8:D21" si="0">(B8)-(C8)</f>
        <v>0</v>
      </c>
    </row>
    <row r="9" spans="1:4" x14ac:dyDescent="0.2">
      <c r="A9" s="3" t="s">
        <v>148</v>
      </c>
      <c r="B9" s="5">
        <f>394262.59</f>
        <v>394262.59</v>
      </c>
      <c r="C9" s="5">
        <f>-487201.21</f>
        <v>-487201.21</v>
      </c>
      <c r="D9" s="5">
        <f t="shared" si="0"/>
        <v>881463.8</v>
      </c>
    </row>
    <row r="10" spans="1:4" x14ac:dyDescent="0.2">
      <c r="A10" s="3" t="s">
        <v>147</v>
      </c>
      <c r="B10" s="5">
        <f>11053.74</f>
        <v>11053.74</v>
      </c>
      <c r="C10" s="5">
        <f>6936.95</f>
        <v>6936.95</v>
      </c>
      <c r="D10" s="5">
        <f t="shared" si="0"/>
        <v>4116.79</v>
      </c>
    </row>
    <row r="11" spans="1:4" x14ac:dyDescent="0.2">
      <c r="A11" s="3" t="s">
        <v>146</v>
      </c>
      <c r="B11" s="5">
        <f>189921.15</f>
        <v>189921.15</v>
      </c>
      <c r="C11" s="5">
        <f>-184200</f>
        <v>-184200</v>
      </c>
      <c r="D11" s="5">
        <f t="shared" si="0"/>
        <v>374121.15</v>
      </c>
    </row>
    <row r="12" spans="1:4" x14ac:dyDescent="0.2">
      <c r="A12" s="3" t="s">
        <v>145</v>
      </c>
      <c r="B12" s="6">
        <f>(((B8)+(B9))+(B10))+(B11)</f>
        <v>595237.48</v>
      </c>
      <c r="C12" s="6">
        <f>(((C8)+(C9))+(C10))+(C11)</f>
        <v>-664464.26</v>
      </c>
      <c r="D12" s="6">
        <f t="shared" si="0"/>
        <v>1259701.74</v>
      </c>
    </row>
    <row r="13" spans="1:4" x14ac:dyDescent="0.2">
      <c r="A13" s="3" t="s">
        <v>144</v>
      </c>
      <c r="B13" s="4"/>
      <c r="C13" s="4"/>
      <c r="D13" s="5">
        <f t="shared" si="0"/>
        <v>0</v>
      </c>
    </row>
    <row r="14" spans="1:4" x14ac:dyDescent="0.2">
      <c r="A14" s="3" t="s">
        <v>143</v>
      </c>
      <c r="B14" s="5">
        <f>35286.16</f>
        <v>35286.160000000003</v>
      </c>
      <c r="C14" s="5">
        <f>27881.29</f>
        <v>27881.29</v>
      </c>
      <c r="D14" s="5">
        <f t="shared" si="0"/>
        <v>7404.8700000000026</v>
      </c>
    </row>
    <row r="15" spans="1:4" x14ac:dyDescent="0.2">
      <c r="A15" s="3" t="s">
        <v>142</v>
      </c>
      <c r="B15" s="5">
        <f>40275.26</f>
        <v>40275.26</v>
      </c>
      <c r="C15" s="5">
        <f>29392.66</f>
        <v>29392.66</v>
      </c>
      <c r="D15" s="5">
        <f t="shared" si="0"/>
        <v>10882.600000000002</v>
      </c>
    </row>
    <row r="16" spans="1:4" x14ac:dyDescent="0.2">
      <c r="A16" s="3" t="s">
        <v>141</v>
      </c>
      <c r="B16" s="6">
        <f>((B13)+(B14))+(B15)</f>
        <v>75561.420000000013</v>
      </c>
      <c r="C16" s="6">
        <f>((C13)+(C14))+(C15)</f>
        <v>57273.95</v>
      </c>
      <c r="D16" s="6">
        <f t="shared" si="0"/>
        <v>18287.470000000016</v>
      </c>
    </row>
    <row r="17" spans="1:4" x14ac:dyDescent="0.2">
      <c r="A17" s="3" t="s">
        <v>171</v>
      </c>
      <c r="B17" s="4"/>
      <c r="C17" s="4"/>
      <c r="D17" s="5">
        <f t="shared" si="0"/>
        <v>0</v>
      </c>
    </row>
    <row r="18" spans="1:4" x14ac:dyDescent="0.2">
      <c r="A18" s="3" t="s">
        <v>156</v>
      </c>
      <c r="B18" s="4"/>
      <c r="C18" s="5">
        <f>-1100</f>
        <v>-1100</v>
      </c>
      <c r="D18" s="5">
        <f t="shared" si="0"/>
        <v>1100</v>
      </c>
    </row>
    <row r="19" spans="1:4" x14ac:dyDescent="0.2">
      <c r="A19" s="3" t="s">
        <v>170</v>
      </c>
      <c r="B19" s="6">
        <f>(B17)+(B18)</f>
        <v>0</v>
      </c>
      <c r="C19" s="6">
        <f>(C17)+(C18)</f>
        <v>-1100</v>
      </c>
      <c r="D19" s="6">
        <f t="shared" si="0"/>
        <v>1100</v>
      </c>
    </row>
    <row r="20" spans="1:4" x14ac:dyDescent="0.2">
      <c r="A20" s="3" t="s">
        <v>140</v>
      </c>
      <c r="B20" s="6">
        <f>((B12)+(B16))+(B19)</f>
        <v>670798.9</v>
      </c>
      <c r="C20" s="6">
        <f>((C12)+(C16))+(C19)</f>
        <v>-608290.31000000006</v>
      </c>
      <c r="D20" s="6">
        <f t="shared" si="0"/>
        <v>1279089.21</v>
      </c>
    </row>
    <row r="21" spans="1:4" x14ac:dyDescent="0.2">
      <c r="A21" s="3" t="s">
        <v>139</v>
      </c>
      <c r="B21" s="6">
        <f>(B20)-(0)</f>
        <v>670798.9</v>
      </c>
      <c r="C21" s="6">
        <f>(C20)-(0)</f>
        <v>-608290.31000000006</v>
      </c>
      <c r="D21" s="6">
        <f t="shared" si="0"/>
        <v>1279089.21</v>
      </c>
    </row>
    <row r="22" spans="1:4" x14ac:dyDescent="0.2">
      <c r="A22" s="3" t="s">
        <v>138</v>
      </c>
      <c r="B22" s="4"/>
      <c r="C22" s="4"/>
      <c r="D22" s="4"/>
    </row>
    <row r="23" spans="1:4" x14ac:dyDescent="0.2">
      <c r="A23" s="3" t="s">
        <v>169</v>
      </c>
      <c r="B23" s="4"/>
      <c r="C23" s="4"/>
      <c r="D23" s="5">
        <f t="shared" ref="D23:D54" si="1">(B23)-(C23)</f>
        <v>0</v>
      </c>
    </row>
    <row r="24" spans="1:4" x14ac:dyDescent="0.2">
      <c r="A24" s="3" t="s">
        <v>168</v>
      </c>
      <c r="B24" s="4"/>
      <c r="C24" s="4"/>
      <c r="D24" s="5">
        <f t="shared" si="1"/>
        <v>0</v>
      </c>
    </row>
    <row r="25" spans="1:4" x14ac:dyDescent="0.2">
      <c r="A25" s="3" t="s">
        <v>167</v>
      </c>
      <c r="B25" s="4"/>
      <c r="C25" s="5">
        <f>51675</f>
        <v>51675</v>
      </c>
      <c r="D25" s="5">
        <f t="shared" si="1"/>
        <v>-51675</v>
      </c>
    </row>
    <row r="26" spans="1:4" x14ac:dyDescent="0.2">
      <c r="A26" s="3" t="s">
        <v>166</v>
      </c>
      <c r="B26" s="6">
        <f>(B24)+(B25)</f>
        <v>0</v>
      </c>
      <c r="C26" s="6">
        <f>(C24)+(C25)</f>
        <v>51675</v>
      </c>
      <c r="D26" s="6">
        <f t="shared" si="1"/>
        <v>-51675</v>
      </c>
    </row>
    <row r="27" spans="1:4" x14ac:dyDescent="0.2">
      <c r="A27" s="3" t="s">
        <v>165</v>
      </c>
      <c r="B27" s="6">
        <f>(B23)+(B26)</f>
        <v>0</v>
      </c>
      <c r="C27" s="6">
        <f>(C23)+(C26)</f>
        <v>51675</v>
      </c>
      <c r="D27" s="6">
        <f t="shared" si="1"/>
        <v>-51675</v>
      </c>
    </row>
    <row r="28" spans="1:4" x14ac:dyDescent="0.2">
      <c r="A28" s="3" t="s">
        <v>137</v>
      </c>
      <c r="B28" s="4"/>
      <c r="C28" s="4"/>
      <c r="D28" s="5">
        <f t="shared" si="1"/>
        <v>0</v>
      </c>
    </row>
    <row r="29" spans="1:4" x14ac:dyDescent="0.2">
      <c r="A29" s="3" t="s">
        <v>136</v>
      </c>
      <c r="B29" s="5">
        <f>858</f>
        <v>858</v>
      </c>
      <c r="C29" s="4"/>
      <c r="D29" s="5">
        <f t="shared" si="1"/>
        <v>858</v>
      </c>
    </row>
    <row r="30" spans="1:4" x14ac:dyDescent="0.2">
      <c r="A30" s="3" t="s">
        <v>135</v>
      </c>
      <c r="B30" s="5">
        <f>996.46</f>
        <v>996.46</v>
      </c>
      <c r="C30" s="4"/>
      <c r="D30" s="5">
        <f t="shared" si="1"/>
        <v>996.46</v>
      </c>
    </row>
    <row r="31" spans="1:4" x14ac:dyDescent="0.2">
      <c r="A31" s="3" t="s">
        <v>164</v>
      </c>
      <c r="B31" s="4"/>
      <c r="C31" s="5">
        <f>1078.83</f>
        <v>1078.83</v>
      </c>
      <c r="D31" s="5">
        <f t="shared" si="1"/>
        <v>-1078.83</v>
      </c>
    </row>
    <row r="32" spans="1:4" x14ac:dyDescent="0.2">
      <c r="A32" s="3" t="s">
        <v>163</v>
      </c>
      <c r="B32" s="4"/>
      <c r="C32" s="5">
        <f>44800</f>
        <v>44800</v>
      </c>
      <c r="D32" s="5">
        <f t="shared" si="1"/>
        <v>-44800</v>
      </c>
    </row>
    <row r="33" spans="1:4" x14ac:dyDescent="0.2">
      <c r="A33" s="3" t="s">
        <v>134</v>
      </c>
      <c r="B33" s="5">
        <f>68808.29</f>
        <v>68808.289999999994</v>
      </c>
      <c r="C33" s="5">
        <f>36346.5</f>
        <v>36346.5</v>
      </c>
      <c r="D33" s="5">
        <f t="shared" si="1"/>
        <v>32461.789999999994</v>
      </c>
    </row>
    <row r="34" spans="1:4" x14ac:dyDescent="0.2">
      <c r="A34" s="3" t="s">
        <v>133</v>
      </c>
      <c r="B34" s="5">
        <f>3888.27</f>
        <v>3888.27</v>
      </c>
      <c r="C34" s="5">
        <f>-4684.6</f>
        <v>-4684.6000000000004</v>
      </c>
      <c r="D34" s="5">
        <f t="shared" si="1"/>
        <v>8572.8700000000008</v>
      </c>
    </row>
    <row r="35" spans="1:4" x14ac:dyDescent="0.2">
      <c r="A35" s="3" t="s">
        <v>132</v>
      </c>
      <c r="B35" s="5">
        <f>4450</f>
        <v>4450</v>
      </c>
      <c r="C35" s="4"/>
      <c r="D35" s="5">
        <f t="shared" si="1"/>
        <v>4450</v>
      </c>
    </row>
    <row r="36" spans="1:4" x14ac:dyDescent="0.2">
      <c r="A36" s="3" t="s">
        <v>162</v>
      </c>
      <c r="B36" s="4"/>
      <c r="C36" s="5">
        <f>7.55</f>
        <v>7.55</v>
      </c>
      <c r="D36" s="5">
        <f t="shared" si="1"/>
        <v>-7.55</v>
      </c>
    </row>
    <row r="37" spans="1:4" x14ac:dyDescent="0.2">
      <c r="A37" s="3" t="s">
        <v>161</v>
      </c>
      <c r="B37" s="4"/>
      <c r="C37" s="5">
        <f>-30000</f>
        <v>-30000</v>
      </c>
      <c r="D37" s="5">
        <f t="shared" si="1"/>
        <v>30000</v>
      </c>
    </row>
    <row r="38" spans="1:4" x14ac:dyDescent="0.2">
      <c r="A38" s="3" t="s">
        <v>131</v>
      </c>
      <c r="B38" s="5">
        <f>18500</f>
        <v>18500</v>
      </c>
      <c r="C38" s="5">
        <f>16700</f>
        <v>16700</v>
      </c>
      <c r="D38" s="5">
        <f t="shared" si="1"/>
        <v>1800</v>
      </c>
    </row>
    <row r="39" spans="1:4" x14ac:dyDescent="0.2">
      <c r="A39" s="3" t="s">
        <v>130</v>
      </c>
      <c r="B39" s="5">
        <f>7185</f>
        <v>7185</v>
      </c>
      <c r="C39" s="4"/>
      <c r="D39" s="5">
        <f t="shared" si="1"/>
        <v>7185</v>
      </c>
    </row>
    <row r="40" spans="1:4" x14ac:dyDescent="0.2">
      <c r="A40" s="3" t="s">
        <v>129</v>
      </c>
      <c r="B40" s="5">
        <f>41611.79</f>
        <v>41611.79</v>
      </c>
      <c r="C40" s="4"/>
      <c r="D40" s="5">
        <f t="shared" si="1"/>
        <v>41611.79</v>
      </c>
    </row>
    <row r="41" spans="1:4" x14ac:dyDescent="0.2">
      <c r="A41" s="3" t="s">
        <v>128</v>
      </c>
      <c r="B41" s="4"/>
      <c r="C41" s="4"/>
      <c r="D41" s="5">
        <f t="shared" si="1"/>
        <v>0</v>
      </c>
    </row>
    <row r="42" spans="1:4" x14ac:dyDescent="0.2">
      <c r="A42" s="3" t="s">
        <v>127</v>
      </c>
      <c r="B42" s="5">
        <f>8384.92</f>
        <v>8384.92</v>
      </c>
      <c r="C42" s="4"/>
      <c r="D42" s="5">
        <f t="shared" si="1"/>
        <v>8384.92</v>
      </c>
    </row>
    <row r="43" spans="1:4" x14ac:dyDescent="0.2">
      <c r="A43" s="3" t="s">
        <v>126</v>
      </c>
      <c r="B43" s="5">
        <f>206.64</f>
        <v>206.64</v>
      </c>
      <c r="C43" s="4"/>
      <c r="D43" s="5">
        <f t="shared" si="1"/>
        <v>206.64</v>
      </c>
    </row>
    <row r="44" spans="1:4" x14ac:dyDescent="0.2">
      <c r="A44" s="3" t="s">
        <v>125</v>
      </c>
      <c r="B44" s="5">
        <f>426.66</f>
        <v>426.66</v>
      </c>
      <c r="C44" s="4"/>
      <c r="D44" s="5">
        <f t="shared" si="1"/>
        <v>426.66</v>
      </c>
    </row>
    <row r="45" spans="1:4" x14ac:dyDescent="0.2">
      <c r="A45" s="3" t="s">
        <v>124</v>
      </c>
      <c r="B45" s="6">
        <f>(((B41)+(B42))+(B43))+(B44)</f>
        <v>9018.2199999999993</v>
      </c>
      <c r="C45" s="6">
        <f>(((C41)+(C42))+(C43))+(C44)</f>
        <v>0</v>
      </c>
      <c r="D45" s="6">
        <f t="shared" si="1"/>
        <v>9018.2199999999993</v>
      </c>
    </row>
    <row r="46" spans="1:4" x14ac:dyDescent="0.2">
      <c r="A46" s="3" t="s">
        <v>123</v>
      </c>
      <c r="B46" s="5">
        <f>10633.69</f>
        <v>10633.69</v>
      </c>
      <c r="C46" s="4"/>
      <c r="D46" s="5">
        <f t="shared" si="1"/>
        <v>10633.69</v>
      </c>
    </row>
    <row r="47" spans="1:4" x14ac:dyDescent="0.2">
      <c r="A47" s="3" t="s">
        <v>122</v>
      </c>
      <c r="B47" s="5">
        <f>7829.45</f>
        <v>7829.45</v>
      </c>
      <c r="C47" s="5">
        <f>7776.38</f>
        <v>7776.38</v>
      </c>
      <c r="D47" s="5">
        <f t="shared" si="1"/>
        <v>53.069999999999709</v>
      </c>
    </row>
    <row r="48" spans="1:4" x14ac:dyDescent="0.2">
      <c r="A48" s="3" t="s">
        <v>160</v>
      </c>
      <c r="B48" s="4"/>
      <c r="C48" s="5">
        <f>6000</f>
        <v>6000</v>
      </c>
      <c r="D48" s="5">
        <f t="shared" si="1"/>
        <v>-6000</v>
      </c>
    </row>
    <row r="49" spans="1:4" x14ac:dyDescent="0.2">
      <c r="A49" s="3" t="s">
        <v>121</v>
      </c>
      <c r="B49" s="5">
        <f>6387.5</f>
        <v>6387.5</v>
      </c>
      <c r="C49" s="4"/>
      <c r="D49" s="5">
        <f t="shared" si="1"/>
        <v>6387.5</v>
      </c>
    </row>
    <row r="50" spans="1:4" x14ac:dyDescent="0.2">
      <c r="A50" s="3" t="s">
        <v>120</v>
      </c>
      <c r="B50" s="5">
        <f>6958.61</f>
        <v>6958.61</v>
      </c>
      <c r="C50" s="4"/>
      <c r="D50" s="5">
        <f t="shared" si="1"/>
        <v>6958.61</v>
      </c>
    </row>
    <row r="51" spans="1:4" x14ac:dyDescent="0.2">
      <c r="A51" s="3" t="s">
        <v>119</v>
      </c>
      <c r="B51" s="5">
        <f>47785.98</f>
        <v>47785.98</v>
      </c>
      <c r="C51" s="5">
        <f>91.63</f>
        <v>91.63</v>
      </c>
      <c r="D51" s="5">
        <f t="shared" si="1"/>
        <v>47694.350000000006</v>
      </c>
    </row>
    <row r="52" spans="1:4" x14ac:dyDescent="0.2">
      <c r="A52" s="3" t="s">
        <v>118</v>
      </c>
      <c r="B52" s="6">
        <f>(((((((((((((((((((B28)+(B29))+(B30))+(B31))+(B32))+(B33))+(B34))+(B35))+(B36))+(B37))+(B38))+(B39))+(B40))+(B45))+(B46))+(B47))+(B48))+(B49))+(B50))+(B51)</f>
        <v>234911.26</v>
      </c>
      <c r="C52" s="6">
        <f>(((((((((((((((((((C28)+(C29))+(C30))+(C31))+(C32))+(C33))+(C34))+(C35))+(C36))+(C37))+(C38))+(C39))+(C40))+(C45))+(C46))+(C47))+(C48))+(C49))+(C50))+(C51)</f>
        <v>78116.290000000008</v>
      </c>
      <c r="D52" s="6">
        <f t="shared" si="1"/>
        <v>156794.97</v>
      </c>
    </row>
    <row r="53" spans="1:4" x14ac:dyDescent="0.2">
      <c r="A53" s="3" t="s">
        <v>117</v>
      </c>
      <c r="B53" s="4"/>
      <c r="C53" s="4"/>
      <c r="D53" s="5">
        <f t="shared" si="1"/>
        <v>0</v>
      </c>
    </row>
    <row r="54" spans="1:4" x14ac:dyDescent="0.2">
      <c r="A54" s="3" t="s">
        <v>116</v>
      </c>
      <c r="B54" s="5">
        <f>822.64</f>
        <v>822.64</v>
      </c>
      <c r="C54" s="5">
        <f>573.86</f>
        <v>573.86</v>
      </c>
      <c r="D54" s="5">
        <f t="shared" si="1"/>
        <v>248.77999999999997</v>
      </c>
    </row>
    <row r="55" spans="1:4" x14ac:dyDescent="0.2">
      <c r="A55" s="3" t="s">
        <v>115</v>
      </c>
      <c r="B55" s="5">
        <f>435.35</f>
        <v>435.35</v>
      </c>
      <c r="C55" s="4"/>
      <c r="D55" s="5">
        <f t="shared" ref="D55:D86" si="2">(B55)-(C55)</f>
        <v>435.35</v>
      </c>
    </row>
    <row r="56" spans="1:4" x14ac:dyDescent="0.2">
      <c r="A56" s="3" t="s">
        <v>114</v>
      </c>
      <c r="B56" s="5">
        <f>1482.65</f>
        <v>1482.65</v>
      </c>
      <c r="C56" s="5">
        <f>738</f>
        <v>738</v>
      </c>
      <c r="D56" s="5">
        <f t="shared" si="2"/>
        <v>744.65000000000009</v>
      </c>
    </row>
    <row r="57" spans="1:4" x14ac:dyDescent="0.2">
      <c r="A57" s="3" t="s">
        <v>113</v>
      </c>
      <c r="B57" s="6">
        <f>(((B53)+(B54))+(B55))+(B56)</f>
        <v>2740.6400000000003</v>
      </c>
      <c r="C57" s="6">
        <f>(((C53)+(C54))+(C55))+(C56)</f>
        <v>1311.8600000000001</v>
      </c>
      <c r="D57" s="6">
        <f t="shared" si="2"/>
        <v>1428.7800000000002</v>
      </c>
    </row>
    <row r="58" spans="1:4" x14ac:dyDescent="0.2">
      <c r="A58" s="3" t="s">
        <v>112</v>
      </c>
      <c r="B58" s="4"/>
      <c r="C58" s="4"/>
      <c r="D58" s="5">
        <f t="shared" si="2"/>
        <v>0</v>
      </c>
    </row>
    <row r="59" spans="1:4" x14ac:dyDescent="0.2">
      <c r="A59" s="3" t="s">
        <v>111</v>
      </c>
      <c r="B59" s="5">
        <f>1450.87</f>
        <v>1450.87</v>
      </c>
      <c r="C59" s="5">
        <f>448.12</f>
        <v>448.12</v>
      </c>
      <c r="D59" s="5">
        <f t="shared" si="2"/>
        <v>1002.7499999999999</v>
      </c>
    </row>
    <row r="60" spans="1:4" x14ac:dyDescent="0.2">
      <c r="A60" s="3" t="s">
        <v>110</v>
      </c>
      <c r="B60" s="4"/>
      <c r="C60" s="5">
        <f>10242.5</f>
        <v>10242.5</v>
      </c>
      <c r="D60" s="5">
        <f t="shared" si="2"/>
        <v>-10242.5</v>
      </c>
    </row>
    <row r="61" spans="1:4" x14ac:dyDescent="0.2">
      <c r="A61" s="3" t="s">
        <v>109</v>
      </c>
      <c r="B61" s="5">
        <f>1500</f>
        <v>1500</v>
      </c>
      <c r="C61" s="5">
        <f>3000</f>
        <v>3000</v>
      </c>
      <c r="D61" s="5">
        <f t="shared" si="2"/>
        <v>-1500</v>
      </c>
    </row>
    <row r="62" spans="1:4" x14ac:dyDescent="0.2">
      <c r="A62" s="3" t="s">
        <v>108</v>
      </c>
      <c r="B62" s="5">
        <f>15000</f>
        <v>15000</v>
      </c>
      <c r="C62" s="5">
        <f>18000</f>
        <v>18000</v>
      </c>
      <c r="D62" s="5">
        <f t="shared" si="2"/>
        <v>-3000</v>
      </c>
    </row>
    <row r="63" spans="1:4" x14ac:dyDescent="0.2">
      <c r="A63" s="3" t="s">
        <v>107</v>
      </c>
      <c r="B63" s="5">
        <f>15000</f>
        <v>15000</v>
      </c>
      <c r="C63" s="5">
        <f>10000</f>
        <v>10000</v>
      </c>
      <c r="D63" s="5">
        <f t="shared" si="2"/>
        <v>5000</v>
      </c>
    </row>
    <row r="64" spans="1:4" x14ac:dyDescent="0.2">
      <c r="A64" s="3" t="s">
        <v>106</v>
      </c>
      <c r="B64" s="5">
        <f>4884</f>
        <v>4884</v>
      </c>
      <c r="C64" s="5">
        <f>2508</f>
        <v>2508</v>
      </c>
      <c r="D64" s="5">
        <f t="shared" si="2"/>
        <v>2376</v>
      </c>
    </row>
    <row r="65" spans="1:4" x14ac:dyDescent="0.2">
      <c r="A65" s="3" t="s">
        <v>105</v>
      </c>
      <c r="B65" s="5">
        <f>56700</f>
        <v>56700</v>
      </c>
      <c r="C65" s="4"/>
      <c r="D65" s="5">
        <f t="shared" si="2"/>
        <v>56700</v>
      </c>
    </row>
    <row r="66" spans="1:4" x14ac:dyDescent="0.2">
      <c r="A66" s="3" t="s">
        <v>104</v>
      </c>
      <c r="B66" s="5">
        <f>3200</f>
        <v>3200</v>
      </c>
      <c r="C66" s="4"/>
      <c r="D66" s="5">
        <f t="shared" si="2"/>
        <v>3200</v>
      </c>
    </row>
    <row r="67" spans="1:4" x14ac:dyDescent="0.2">
      <c r="A67" s="3" t="s">
        <v>103</v>
      </c>
      <c r="B67" s="5">
        <f>1675.93</f>
        <v>1675.93</v>
      </c>
      <c r="C67" s="5">
        <f>825</f>
        <v>825</v>
      </c>
      <c r="D67" s="5">
        <f t="shared" si="2"/>
        <v>850.93000000000006</v>
      </c>
    </row>
    <row r="68" spans="1:4" x14ac:dyDescent="0.2">
      <c r="A68" s="3" t="s">
        <v>102</v>
      </c>
      <c r="B68" s="5">
        <f>12536.25</f>
        <v>12536.25</v>
      </c>
      <c r="C68" s="5">
        <f>14370.08</f>
        <v>14370.08</v>
      </c>
      <c r="D68" s="5">
        <f t="shared" si="2"/>
        <v>-1833.83</v>
      </c>
    </row>
    <row r="69" spans="1:4" x14ac:dyDescent="0.2">
      <c r="A69" s="3" t="s">
        <v>101</v>
      </c>
      <c r="B69" s="5">
        <f>9450</f>
        <v>9450</v>
      </c>
      <c r="C69" s="5">
        <f>6000</f>
        <v>6000</v>
      </c>
      <c r="D69" s="5">
        <f t="shared" si="2"/>
        <v>3450</v>
      </c>
    </row>
    <row r="70" spans="1:4" x14ac:dyDescent="0.2">
      <c r="A70" s="3" t="s">
        <v>100</v>
      </c>
      <c r="B70" s="5">
        <f>1369.5</f>
        <v>1369.5</v>
      </c>
      <c r="C70" s="5">
        <f>1831.5</f>
        <v>1831.5</v>
      </c>
      <c r="D70" s="5">
        <f t="shared" si="2"/>
        <v>-462</v>
      </c>
    </row>
    <row r="71" spans="1:4" x14ac:dyDescent="0.2">
      <c r="A71" s="3" t="s">
        <v>99</v>
      </c>
      <c r="B71" s="5">
        <f>1402.5</f>
        <v>1402.5</v>
      </c>
      <c r="C71" s="4"/>
      <c r="D71" s="5">
        <f t="shared" si="2"/>
        <v>1402.5</v>
      </c>
    </row>
    <row r="72" spans="1:4" x14ac:dyDescent="0.2">
      <c r="A72" s="3" t="s">
        <v>98</v>
      </c>
      <c r="B72" s="5">
        <f>9875</f>
        <v>9875</v>
      </c>
      <c r="C72" s="4"/>
      <c r="D72" s="5">
        <f t="shared" si="2"/>
        <v>9875</v>
      </c>
    </row>
    <row r="73" spans="1:4" x14ac:dyDescent="0.2">
      <c r="A73" s="3" t="s">
        <v>97</v>
      </c>
      <c r="B73" s="6">
        <f>((((((((((((B60)+(B61))+(B62))+(B63))+(B64))+(B65))+(B66))+(B67))+(B68))+(B69))+(B70))+(B71))+(B72)</f>
        <v>132593.18</v>
      </c>
      <c r="C73" s="6">
        <f>((((((((((((C60)+(C61))+(C62))+(C63))+(C64))+(C65))+(C66))+(C67))+(C68))+(C69))+(C70))+(C71))+(C72)</f>
        <v>66777.08</v>
      </c>
      <c r="D73" s="6">
        <f t="shared" si="2"/>
        <v>65816.099999999991</v>
      </c>
    </row>
    <row r="74" spans="1:4" x14ac:dyDescent="0.2">
      <c r="A74" s="3" t="s">
        <v>96</v>
      </c>
      <c r="B74" s="5">
        <f>3793</f>
        <v>3793</v>
      </c>
      <c r="C74" s="4"/>
      <c r="D74" s="5">
        <f t="shared" si="2"/>
        <v>3793</v>
      </c>
    </row>
    <row r="75" spans="1:4" x14ac:dyDescent="0.2">
      <c r="A75" s="3" t="s">
        <v>95</v>
      </c>
      <c r="B75" s="5">
        <f>3035</f>
        <v>3035</v>
      </c>
      <c r="C75" s="4"/>
      <c r="D75" s="5">
        <f t="shared" si="2"/>
        <v>3035</v>
      </c>
    </row>
    <row r="76" spans="1:4" x14ac:dyDescent="0.2">
      <c r="A76" s="3" t="s">
        <v>94</v>
      </c>
      <c r="B76" s="6">
        <f>(B74)+(B75)</f>
        <v>6828</v>
      </c>
      <c r="C76" s="6">
        <f>(C74)+(C75)</f>
        <v>0</v>
      </c>
      <c r="D76" s="6">
        <f t="shared" si="2"/>
        <v>6828</v>
      </c>
    </row>
    <row r="77" spans="1:4" x14ac:dyDescent="0.2">
      <c r="A77" s="3" t="s">
        <v>93</v>
      </c>
      <c r="B77" s="5">
        <f>119.96</f>
        <v>119.96</v>
      </c>
      <c r="C77" s="5">
        <f>17858.35</f>
        <v>17858.349999999999</v>
      </c>
      <c r="D77" s="5">
        <f t="shared" si="2"/>
        <v>-17738.39</v>
      </c>
    </row>
    <row r="78" spans="1:4" x14ac:dyDescent="0.2">
      <c r="A78" s="3" t="s">
        <v>92</v>
      </c>
      <c r="B78" s="5">
        <f>3669.35</f>
        <v>3669.35</v>
      </c>
      <c r="C78" s="5">
        <f>3610.24</f>
        <v>3610.24</v>
      </c>
      <c r="D78" s="5">
        <f t="shared" si="2"/>
        <v>59.110000000000127</v>
      </c>
    </row>
    <row r="79" spans="1:4" x14ac:dyDescent="0.2">
      <c r="A79" s="3" t="s">
        <v>91</v>
      </c>
      <c r="B79" s="5">
        <f>1399.81</f>
        <v>1399.81</v>
      </c>
      <c r="C79" s="5">
        <f>2329.77</f>
        <v>2329.77</v>
      </c>
      <c r="D79" s="5">
        <f t="shared" si="2"/>
        <v>-929.96</v>
      </c>
    </row>
    <row r="80" spans="1:4" x14ac:dyDescent="0.2">
      <c r="A80" s="3" t="s">
        <v>90</v>
      </c>
      <c r="B80" s="4"/>
      <c r="C80" s="5">
        <f>3725</f>
        <v>3725</v>
      </c>
      <c r="D80" s="5">
        <f t="shared" si="2"/>
        <v>-3725</v>
      </c>
    </row>
    <row r="81" spans="1:4" x14ac:dyDescent="0.2">
      <c r="A81" s="3" t="s">
        <v>89</v>
      </c>
      <c r="B81" s="5">
        <f>1800</f>
        <v>1800</v>
      </c>
      <c r="C81" s="5">
        <f>6000</f>
        <v>6000</v>
      </c>
      <c r="D81" s="5">
        <f t="shared" si="2"/>
        <v>-4200</v>
      </c>
    </row>
    <row r="82" spans="1:4" x14ac:dyDescent="0.2">
      <c r="A82" s="3" t="s">
        <v>88</v>
      </c>
      <c r="B82" s="5">
        <f>2400</f>
        <v>2400</v>
      </c>
      <c r="C82" s="4"/>
      <c r="D82" s="5">
        <f t="shared" si="2"/>
        <v>2400</v>
      </c>
    </row>
    <row r="83" spans="1:4" x14ac:dyDescent="0.2">
      <c r="A83" s="3" t="s">
        <v>87</v>
      </c>
      <c r="B83" s="5">
        <f>4365</f>
        <v>4365</v>
      </c>
      <c r="C83" s="5">
        <f>29156</f>
        <v>29156</v>
      </c>
      <c r="D83" s="5">
        <f t="shared" si="2"/>
        <v>-24791</v>
      </c>
    </row>
    <row r="84" spans="1:4" x14ac:dyDescent="0.2">
      <c r="A84" s="3" t="s">
        <v>86</v>
      </c>
      <c r="B84" s="6">
        <f>(((B80)+(B81))+(B82))+(B83)</f>
        <v>8565</v>
      </c>
      <c r="C84" s="6">
        <f>(((C80)+(C81))+(C82))+(C83)</f>
        <v>38881</v>
      </c>
      <c r="D84" s="6">
        <f t="shared" si="2"/>
        <v>-30316</v>
      </c>
    </row>
    <row r="85" spans="1:4" x14ac:dyDescent="0.2">
      <c r="A85" s="3" t="s">
        <v>85</v>
      </c>
      <c r="B85" s="5">
        <f>3348.43</f>
        <v>3348.43</v>
      </c>
      <c r="C85" s="5">
        <f>971</f>
        <v>971</v>
      </c>
      <c r="D85" s="5">
        <f t="shared" si="2"/>
        <v>2377.4299999999998</v>
      </c>
    </row>
    <row r="86" spans="1:4" x14ac:dyDescent="0.2">
      <c r="A86" s="3" t="s">
        <v>120</v>
      </c>
      <c r="B86" s="4"/>
      <c r="C86" s="5">
        <f>6988</f>
        <v>6988</v>
      </c>
      <c r="D86" s="5">
        <f t="shared" si="2"/>
        <v>-6988</v>
      </c>
    </row>
    <row r="87" spans="1:4" x14ac:dyDescent="0.2">
      <c r="A87" s="3" t="s">
        <v>84</v>
      </c>
      <c r="B87" s="4"/>
      <c r="C87" s="5">
        <f>976.9</f>
        <v>976.9</v>
      </c>
      <c r="D87" s="5">
        <f t="shared" ref="D87:D118" si="3">(B87)-(C87)</f>
        <v>-976.9</v>
      </c>
    </row>
    <row r="88" spans="1:4" x14ac:dyDescent="0.2">
      <c r="A88" s="3" t="s">
        <v>83</v>
      </c>
      <c r="B88" s="5">
        <f>199</f>
        <v>199</v>
      </c>
      <c r="C88" s="5">
        <f>350</f>
        <v>350</v>
      </c>
      <c r="D88" s="5">
        <f t="shared" si="3"/>
        <v>-151</v>
      </c>
    </row>
    <row r="89" spans="1:4" x14ac:dyDescent="0.2">
      <c r="A89" s="3" t="s">
        <v>82</v>
      </c>
      <c r="B89" s="5">
        <f>19500</f>
        <v>19500</v>
      </c>
      <c r="C89" s="5">
        <f>11300+5650</f>
        <v>16950</v>
      </c>
      <c r="D89" s="5">
        <f t="shared" si="3"/>
        <v>2550</v>
      </c>
    </row>
    <row r="90" spans="1:4" x14ac:dyDescent="0.2">
      <c r="A90" s="3" t="s">
        <v>81</v>
      </c>
      <c r="B90" s="6">
        <f>(((B87)+(B88))+(B89))</f>
        <v>19699</v>
      </c>
      <c r="C90" s="6">
        <f>(((C87)+(C88))+(C89))</f>
        <v>18276.900000000001</v>
      </c>
      <c r="D90" s="6">
        <f t="shared" si="3"/>
        <v>1422.0999999999985</v>
      </c>
    </row>
    <row r="91" spans="1:4" x14ac:dyDescent="0.2">
      <c r="A91" s="3" t="s">
        <v>80</v>
      </c>
      <c r="B91" s="6">
        <f>((((((((((B58)+(B59))+(B73))+(B76))+(B77))+(B78))+(B79))+(B84))+(B85))+(B86))+(B90)</f>
        <v>177673.59999999998</v>
      </c>
      <c r="C91" s="6">
        <f>((((((((((C58)+(C59))+(C73))+(C76))+(C77))+(C78))+(C79))+(C84))+(C85))+(C86))+(C90)</f>
        <v>156140.46</v>
      </c>
      <c r="D91" s="6">
        <f t="shared" si="3"/>
        <v>21533.139999999985</v>
      </c>
    </row>
    <row r="92" spans="1:4" x14ac:dyDescent="0.2">
      <c r="A92" s="3" t="s">
        <v>79</v>
      </c>
      <c r="B92" s="4"/>
      <c r="C92" s="4"/>
      <c r="D92" s="5">
        <f t="shared" si="3"/>
        <v>0</v>
      </c>
    </row>
    <row r="93" spans="1:4" x14ac:dyDescent="0.2">
      <c r="A93" s="3" t="s">
        <v>78</v>
      </c>
      <c r="B93" s="5">
        <f>-1018.65</f>
        <v>-1018.65</v>
      </c>
      <c r="C93" s="5">
        <f>2323.8</f>
        <v>2323.8000000000002</v>
      </c>
      <c r="D93" s="5">
        <f t="shared" si="3"/>
        <v>-3342.4500000000003</v>
      </c>
    </row>
    <row r="94" spans="1:4" x14ac:dyDescent="0.2">
      <c r="A94" s="3" t="s">
        <v>77</v>
      </c>
      <c r="B94" s="5">
        <f>18190.38</f>
        <v>18190.38</v>
      </c>
      <c r="C94" s="5">
        <f>22063.32</f>
        <v>22063.32</v>
      </c>
      <c r="D94" s="5">
        <f t="shared" si="3"/>
        <v>-3872.9399999999987</v>
      </c>
    </row>
    <row r="95" spans="1:4" x14ac:dyDescent="0.2">
      <c r="A95" s="3" t="s">
        <v>76</v>
      </c>
      <c r="B95" s="5">
        <f>546.5</f>
        <v>546.5</v>
      </c>
      <c r="C95" s="5">
        <f>512.43</f>
        <v>512.42999999999995</v>
      </c>
      <c r="D95" s="5">
        <f t="shared" si="3"/>
        <v>34.07000000000005</v>
      </c>
    </row>
    <row r="96" spans="1:4" x14ac:dyDescent="0.2">
      <c r="A96" s="3" t="s">
        <v>159</v>
      </c>
      <c r="B96" s="4"/>
      <c r="C96" s="5">
        <f>2514.24</f>
        <v>2514.2399999999998</v>
      </c>
      <c r="D96" s="5">
        <f t="shared" si="3"/>
        <v>-2514.2399999999998</v>
      </c>
    </row>
    <row r="97" spans="1:4" x14ac:dyDescent="0.2">
      <c r="A97" s="3" t="s">
        <v>75</v>
      </c>
      <c r="B97" s="5">
        <f>70833.2</f>
        <v>70833.2</v>
      </c>
      <c r="C97" s="5">
        <f>132708.21</f>
        <v>132708.21</v>
      </c>
      <c r="D97" s="5">
        <f t="shared" si="3"/>
        <v>-61875.009999999995</v>
      </c>
    </row>
    <row r="98" spans="1:4" x14ac:dyDescent="0.2">
      <c r="A98" s="3" t="s">
        <v>74</v>
      </c>
      <c r="B98" s="5">
        <f>4819.59</f>
        <v>4819.59</v>
      </c>
      <c r="C98" s="5">
        <f>10291.44</f>
        <v>10291.44</v>
      </c>
      <c r="D98" s="5">
        <f t="shared" si="3"/>
        <v>-5471.85</v>
      </c>
    </row>
    <row r="99" spans="1:4" x14ac:dyDescent="0.2">
      <c r="A99" s="3" t="s">
        <v>73</v>
      </c>
      <c r="B99" s="5">
        <f>253.8</f>
        <v>253.8</v>
      </c>
      <c r="C99" s="5">
        <f>223.86</f>
        <v>223.86</v>
      </c>
      <c r="D99" s="5">
        <f t="shared" si="3"/>
        <v>29.939999999999998</v>
      </c>
    </row>
    <row r="100" spans="1:4" x14ac:dyDescent="0.2">
      <c r="A100" s="3" t="s">
        <v>72</v>
      </c>
      <c r="B100" s="6">
        <f>(((((((B92)+(B93))+(B94))+(B95))+(B96))+(B97))+(B98))+(B99)</f>
        <v>93624.819999999992</v>
      </c>
      <c r="C100" s="6">
        <f>(((((((C92)+(C93))+(C94))+(C95))+(C96))+(C97))+(C98))+(C99)</f>
        <v>170637.3</v>
      </c>
      <c r="D100" s="6">
        <f t="shared" si="3"/>
        <v>-77012.479999999996</v>
      </c>
    </row>
    <row r="101" spans="1:4" x14ac:dyDescent="0.2">
      <c r="A101" s="3" t="s">
        <v>71</v>
      </c>
      <c r="B101" s="4"/>
      <c r="C101" s="4"/>
      <c r="D101" s="5">
        <f t="shared" si="3"/>
        <v>0</v>
      </c>
    </row>
    <row r="102" spans="1:4" x14ac:dyDescent="0.2">
      <c r="A102" s="3" t="s">
        <v>158</v>
      </c>
      <c r="B102" s="4"/>
      <c r="C102" s="5">
        <f>1500</f>
        <v>1500</v>
      </c>
      <c r="D102" s="5">
        <f t="shared" si="3"/>
        <v>-1500</v>
      </c>
    </row>
    <row r="103" spans="1:4" x14ac:dyDescent="0.2">
      <c r="A103" s="3" t="s">
        <v>70</v>
      </c>
      <c r="B103" s="5">
        <f>500</f>
        <v>500</v>
      </c>
      <c r="C103" s="5">
        <f>600</f>
        <v>600</v>
      </c>
      <c r="D103" s="5">
        <f t="shared" si="3"/>
        <v>-100</v>
      </c>
    </row>
    <row r="104" spans="1:4" x14ac:dyDescent="0.2">
      <c r="A104" s="3" t="s">
        <v>157</v>
      </c>
      <c r="B104" s="4"/>
      <c r="C104" s="5">
        <f>15000</f>
        <v>15000</v>
      </c>
      <c r="D104" s="5">
        <f t="shared" si="3"/>
        <v>-15000</v>
      </c>
    </row>
    <row r="105" spans="1:4" x14ac:dyDescent="0.2">
      <c r="A105" s="3" t="s">
        <v>69</v>
      </c>
      <c r="B105" s="5">
        <f>30</f>
        <v>30</v>
      </c>
      <c r="C105" s="4"/>
      <c r="D105" s="5">
        <f t="shared" si="3"/>
        <v>30</v>
      </c>
    </row>
    <row r="106" spans="1:4" x14ac:dyDescent="0.2">
      <c r="A106" s="3" t="s">
        <v>68</v>
      </c>
      <c r="B106" s="5">
        <f>5220</f>
        <v>5220</v>
      </c>
      <c r="C106" s="4"/>
      <c r="D106" s="5">
        <f t="shared" si="3"/>
        <v>5220</v>
      </c>
    </row>
    <row r="107" spans="1:4" x14ac:dyDescent="0.2">
      <c r="A107" s="3" t="s">
        <v>67</v>
      </c>
      <c r="B107" s="5">
        <f>750</f>
        <v>750</v>
      </c>
      <c r="C107" s="5">
        <f>3000</f>
        <v>3000</v>
      </c>
      <c r="D107" s="5">
        <f t="shared" si="3"/>
        <v>-2250</v>
      </c>
    </row>
    <row r="108" spans="1:4" x14ac:dyDescent="0.2">
      <c r="A108" s="3" t="s">
        <v>66</v>
      </c>
      <c r="B108" s="5">
        <f>595</f>
        <v>595</v>
      </c>
      <c r="C108" s="4"/>
      <c r="D108" s="5">
        <f t="shared" si="3"/>
        <v>595</v>
      </c>
    </row>
    <row r="109" spans="1:4" x14ac:dyDescent="0.2">
      <c r="A109" s="3" t="s">
        <v>156</v>
      </c>
      <c r="B109" s="4"/>
      <c r="C109" s="5">
        <f>-14.48</f>
        <v>-14.48</v>
      </c>
      <c r="D109" s="5">
        <f t="shared" si="3"/>
        <v>14.48</v>
      </c>
    </row>
    <row r="110" spans="1:4" x14ac:dyDescent="0.2">
      <c r="A110" s="3" t="s">
        <v>65</v>
      </c>
      <c r="B110" s="6">
        <f>((((((((B101)+(B102))+(B103))+(B104))+(B105))+(B106))+(B107))+(B108))+(B109)</f>
        <v>7095</v>
      </c>
      <c r="C110" s="6">
        <f>((((((((C101)+(C102))+(C103))+(C104))+(C105))+(C106))+(C107))+(C108))+(C109)</f>
        <v>20085.52</v>
      </c>
      <c r="D110" s="6">
        <f t="shared" si="3"/>
        <v>-12990.52</v>
      </c>
    </row>
    <row r="111" spans="1:4" x14ac:dyDescent="0.2">
      <c r="A111" s="3" t="s">
        <v>64</v>
      </c>
      <c r="B111" s="6">
        <f>(((((B27)+(B52))+(B57))+(B91))+(B100))+(B110)</f>
        <v>516045.32</v>
      </c>
      <c r="C111" s="6">
        <f>(((((C27)+(C52))+(C57))+(C91))+(C100))+(C110)</f>
        <v>477966.43</v>
      </c>
      <c r="D111" s="6">
        <f t="shared" si="3"/>
        <v>38078.890000000014</v>
      </c>
    </row>
    <row r="112" spans="1:4" x14ac:dyDescent="0.2">
      <c r="A112" s="3" t="s">
        <v>63</v>
      </c>
      <c r="B112" s="6">
        <f>(B21)-(B111)</f>
        <v>154753.58000000002</v>
      </c>
      <c r="C112" s="6">
        <f>(C21)-(C111)</f>
        <v>-1086256.74</v>
      </c>
      <c r="D112" s="6">
        <f t="shared" si="3"/>
        <v>1241010.32</v>
      </c>
    </row>
    <row r="113" spans="1:4" x14ac:dyDescent="0.2">
      <c r="A113" s="3" t="s">
        <v>62</v>
      </c>
      <c r="B113" s="4"/>
      <c r="C113" s="4"/>
      <c r="D113" s="4"/>
    </row>
    <row r="114" spans="1:4" x14ac:dyDescent="0.2">
      <c r="A114" s="3" t="s">
        <v>61</v>
      </c>
      <c r="B114" s="5">
        <f>29.91</f>
        <v>29.91</v>
      </c>
      <c r="C114" s="5">
        <f>104.92</f>
        <v>104.92</v>
      </c>
      <c r="D114" s="5">
        <f>(B114)-(C114)</f>
        <v>-75.010000000000005</v>
      </c>
    </row>
    <row r="115" spans="1:4" x14ac:dyDescent="0.2">
      <c r="A115" s="3" t="s">
        <v>155</v>
      </c>
      <c r="B115" s="4"/>
      <c r="C115" s="5">
        <f>3743.85</f>
        <v>3743.85</v>
      </c>
      <c r="D115" s="5">
        <f>(B115)-(C115)</f>
        <v>-3743.85</v>
      </c>
    </row>
    <row r="116" spans="1:4" x14ac:dyDescent="0.2">
      <c r="A116" s="3" t="s">
        <v>60</v>
      </c>
      <c r="B116" s="6">
        <f>(B114)+(B115)</f>
        <v>29.91</v>
      </c>
      <c r="C116" s="6">
        <f>(C114)+(C115)</f>
        <v>3848.77</v>
      </c>
      <c r="D116" s="6">
        <f>(B116)-(C116)</f>
        <v>-3818.86</v>
      </c>
    </row>
    <row r="117" spans="1:4" x14ac:dyDescent="0.2">
      <c r="A117" s="3" t="s">
        <v>59</v>
      </c>
      <c r="B117" s="4"/>
      <c r="C117" s="4"/>
      <c r="D117" s="4"/>
    </row>
    <row r="118" spans="1:4" x14ac:dyDescent="0.2">
      <c r="A118" s="3" t="s">
        <v>58</v>
      </c>
      <c r="B118" s="4"/>
      <c r="C118" s="4"/>
      <c r="D118" s="5">
        <f t="shared" ref="D118:D123" si="4">(B118)-(C118)</f>
        <v>0</v>
      </c>
    </row>
    <row r="119" spans="1:4" x14ac:dyDescent="0.2">
      <c r="A119" s="3" t="s">
        <v>57</v>
      </c>
      <c r="B119" s="5">
        <f>597.98</f>
        <v>597.98</v>
      </c>
      <c r="C119" s="4"/>
      <c r="D119" s="5">
        <f t="shared" si="4"/>
        <v>597.98</v>
      </c>
    </row>
    <row r="120" spans="1:4" x14ac:dyDescent="0.2">
      <c r="A120" s="3" t="s">
        <v>56</v>
      </c>
      <c r="B120" s="6">
        <f>(B118)+(B119)</f>
        <v>597.98</v>
      </c>
      <c r="C120" s="6">
        <f>(C118)+(C119)</f>
        <v>0</v>
      </c>
      <c r="D120" s="6">
        <f t="shared" si="4"/>
        <v>597.98</v>
      </c>
    </row>
    <row r="121" spans="1:4" x14ac:dyDescent="0.2">
      <c r="A121" s="3" t="s">
        <v>55</v>
      </c>
      <c r="B121" s="6">
        <f>B120</f>
        <v>597.98</v>
      </c>
      <c r="C121" s="6">
        <f>C120</f>
        <v>0</v>
      </c>
      <c r="D121" s="6">
        <f t="shared" si="4"/>
        <v>597.98</v>
      </c>
    </row>
    <row r="122" spans="1:4" x14ac:dyDescent="0.2">
      <c r="A122" s="3" t="s">
        <v>54</v>
      </c>
      <c r="B122" s="6">
        <f>(B116)-(B121)</f>
        <v>-568.07000000000005</v>
      </c>
      <c r="C122" s="6">
        <f>(C116)-(C121)</f>
        <v>3848.77</v>
      </c>
      <c r="D122" s="6">
        <f t="shared" si="4"/>
        <v>-4416.84</v>
      </c>
    </row>
    <row r="123" spans="1:4" x14ac:dyDescent="0.2">
      <c r="A123" s="3" t="s">
        <v>53</v>
      </c>
      <c r="B123" s="6">
        <f>(B112)+(B122)</f>
        <v>154185.51</v>
      </c>
      <c r="C123" s="6">
        <f>(C112)+(C122)</f>
        <v>-1082407.97</v>
      </c>
      <c r="D123" s="6">
        <f t="shared" si="4"/>
        <v>1236593.48</v>
      </c>
    </row>
    <row r="124" spans="1:4" x14ac:dyDescent="0.2">
      <c r="A124" s="3"/>
      <c r="B124" s="4"/>
      <c r="C124" s="4"/>
      <c r="D124" s="4"/>
    </row>
    <row r="127" spans="1:4" x14ac:dyDescent="0.2">
      <c r="A127" s="7" t="s">
        <v>154</v>
      </c>
      <c r="B127" s="8"/>
      <c r="C127" s="8"/>
      <c r="D127" s="8"/>
    </row>
  </sheetData>
  <mergeCells count="5">
    <mergeCell ref="B5:D5"/>
    <mergeCell ref="A127:D127"/>
    <mergeCell ref="A1:D1"/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71973-01A0-41C2-B184-350181FD1DE1}">
  <dimension ref="A1:B21"/>
  <sheetViews>
    <sheetView topLeftCell="A3" workbookViewId="0">
      <selection sqref="A1:B1"/>
    </sheetView>
  </sheetViews>
  <sheetFormatPr baseColWidth="10" defaultColWidth="8.83203125" defaultRowHeight="15" x14ac:dyDescent="0.2"/>
  <cols>
    <col min="1" max="1" width="69.5" customWidth="1"/>
    <col min="2" max="2" width="20.5" customWidth="1"/>
  </cols>
  <sheetData>
    <row r="1" spans="1:2" ht="18" x14ac:dyDescent="0.2">
      <c r="A1" s="9" t="s">
        <v>8</v>
      </c>
      <c r="B1" s="8"/>
    </row>
    <row r="2" spans="1:2" ht="18" x14ac:dyDescent="0.2">
      <c r="A2" s="9" t="s">
        <v>187</v>
      </c>
      <c r="B2" s="8"/>
    </row>
    <row r="3" spans="1:2" x14ac:dyDescent="0.2">
      <c r="A3" s="10" t="s">
        <v>153</v>
      </c>
      <c r="B3" s="8"/>
    </row>
    <row r="5" spans="1:2" x14ac:dyDescent="0.2">
      <c r="A5" s="1"/>
      <c r="B5" s="2" t="s">
        <v>5</v>
      </c>
    </row>
    <row r="6" spans="1:2" x14ac:dyDescent="0.2">
      <c r="A6" s="3" t="s">
        <v>186</v>
      </c>
      <c r="B6" s="4"/>
    </row>
    <row r="7" spans="1:2" x14ac:dyDescent="0.2">
      <c r="A7" s="3" t="s">
        <v>185</v>
      </c>
      <c r="B7" s="5">
        <f>21138.57</f>
        <v>21138.57</v>
      </c>
    </row>
    <row r="8" spans="1:2" x14ac:dyDescent="0.2">
      <c r="A8" s="3" t="s">
        <v>184</v>
      </c>
      <c r="B8" s="4"/>
    </row>
    <row r="9" spans="1:2" x14ac:dyDescent="0.2">
      <c r="A9" s="3" t="s">
        <v>183</v>
      </c>
      <c r="B9" s="5">
        <f>29610</f>
        <v>29610</v>
      </c>
    </row>
    <row r="10" spans="1:2" x14ac:dyDescent="0.2">
      <c r="A10" s="3" t="s">
        <v>182</v>
      </c>
      <c r="B10" s="5">
        <f>5109.43</f>
        <v>5109.43</v>
      </c>
    </row>
    <row r="11" spans="1:2" x14ac:dyDescent="0.2">
      <c r="A11" s="3" t="s">
        <v>181</v>
      </c>
      <c r="B11" s="5">
        <f>2617.59</f>
        <v>2617.59</v>
      </c>
    </row>
    <row r="12" spans="1:2" x14ac:dyDescent="0.2">
      <c r="A12" s="3" t="s">
        <v>180</v>
      </c>
      <c r="B12" s="5">
        <f>4268.99</f>
        <v>4268.99</v>
      </c>
    </row>
    <row r="13" spans="1:2" x14ac:dyDescent="0.2">
      <c r="A13" s="3" t="s">
        <v>179</v>
      </c>
      <c r="B13" s="6">
        <f>((((B8)+(B9))+(B10))+(B11))+(B12)</f>
        <v>41606.01</v>
      </c>
    </row>
    <row r="14" spans="1:2" x14ac:dyDescent="0.2">
      <c r="A14" s="3" t="s">
        <v>178</v>
      </c>
      <c r="B14" s="6">
        <f>(B7)+(B13)</f>
        <v>62744.58</v>
      </c>
    </row>
    <row r="15" spans="1:2" x14ac:dyDescent="0.2">
      <c r="A15" s="3" t="s">
        <v>177</v>
      </c>
      <c r="B15" s="6">
        <f>B14</f>
        <v>62744.58</v>
      </c>
    </row>
    <row r="16" spans="1:2" x14ac:dyDescent="0.2">
      <c r="A16" s="3" t="s">
        <v>176</v>
      </c>
      <c r="B16" s="5">
        <f>2602747.85</f>
        <v>2602747.85</v>
      </c>
    </row>
    <row r="17" spans="1:2" x14ac:dyDescent="0.2">
      <c r="A17" s="3" t="s">
        <v>175</v>
      </c>
      <c r="B17" s="6">
        <f>(B15)+(B16)</f>
        <v>2665492.4300000002</v>
      </c>
    </row>
    <row r="18" spans="1:2" x14ac:dyDescent="0.2">
      <c r="A18" s="3"/>
      <c r="B18" s="4"/>
    </row>
    <row r="21" spans="1:2" x14ac:dyDescent="0.2">
      <c r="A21" s="7" t="s">
        <v>188</v>
      </c>
      <c r="B21" s="8"/>
    </row>
  </sheetData>
  <mergeCells count="4">
    <mergeCell ref="A21:B21"/>
    <mergeCell ref="A1:B1"/>
    <mergeCell ref="A2:B2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workbookViewId="0">
      <selection activeCell="A6" sqref="A6:A16"/>
    </sheetView>
  </sheetViews>
  <sheetFormatPr baseColWidth="10" defaultColWidth="8.83203125" defaultRowHeight="15" x14ac:dyDescent="0.2"/>
  <cols>
    <col min="1" max="1" width="16.33203125" customWidth="1"/>
    <col min="2" max="3" width="9.5" customWidth="1"/>
    <col min="4" max="4" width="7.6640625" customWidth="1"/>
    <col min="5" max="5" width="8.5" customWidth="1"/>
    <col min="6" max="7" width="11.1640625" customWidth="1"/>
  </cols>
  <sheetData>
    <row r="1" spans="1:7" ht="18" x14ac:dyDescent="0.2">
      <c r="A1" s="9" t="s">
        <v>8</v>
      </c>
      <c r="B1" s="8"/>
      <c r="C1" s="8"/>
      <c r="D1" s="8"/>
      <c r="E1" s="8"/>
      <c r="F1" s="8"/>
      <c r="G1" s="8"/>
    </row>
    <row r="2" spans="1:7" ht="18" x14ac:dyDescent="0.2">
      <c r="A2" s="9" t="s">
        <v>9</v>
      </c>
      <c r="B2" s="8"/>
      <c r="C2" s="8"/>
      <c r="D2" s="8"/>
      <c r="E2" s="8"/>
      <c r="F2" s="8"/>
      <c r="G2" s="8"/>
    </row>
    <row r="3" spans="1:7" x14ac:dyDescent="0.2">
      <c r="A3" s="10" t="s">
        <v>10</v>
      </c>
      <c r="B3" s="8"/>
      <c r="C3" s="8"/>
      <c r="D3" s="8"/>
      <c r="E3" s="8"/>
      <c r="F3" s="8"/>
      <c r="G3" s="8"/>
    </row>
    <row r="5" spans="1:7" x14ac:dyDescent="0.2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1:7" x14ac:dyDescent="0.2">
      <c r="A6" s="3"/>
      <c r="B6" s="4"/>
      <c r="C6" s="4"/>
      <c r="D6" s="4"/>
      <c r="E6" s="4"/>
      <c r="F6" s="5">
        <f>0</f>
        <v>0</v>
      </c>
      <c r="G6" s="5">
        <f t="shared" ref="G6:G17" si="0">((((B6)+(C6))+(D6))+(E6))+(F6)</f>
        <v>0</v>
      </c>
    </row>
    <row r="7" spans="1:7" x14ac:dyDescent="0.2">
      <c r="A7" s="3"/>
      <c r="B7" s="4"/>
      <c r="C7" s="4"/>
      <c r="D7" s="4"/>
      <c r="E7" s="5">
        <f>7500</f>
        <v>7500</v>
      </c>
      <c r="F7" s="4"/>
      <c r="G7" s="5">
        <f t="shared" si="0"/>
        <v>7500</v>
      </c>
    </row>
    <row r="8" spans="1:7" x14ac:dyDescent="0.2">
      <c r="A8" s="3"/>
      <c r="B8" s="5">
        <f>1500</f>
        <v>1500</v>
      </c>
      <c r="C8" s="5">
        <f>10000</f>
        <v>10000</v>
      </c>
      <c r="D8" s="4"/>
      <c r="E8" s="4"/>
      <c r="F8" s="4"/>
      <c r="G8" s="5">
        <f t="shared" si="0"/>
        <v>11500</v>
      </c>
    </row>
    <row r="9" spans="1:7" x14ac:dyDescent="0.2">
      <c r="A9" s="3"/>
      <c r="B9" s="4"/>
      <c r="C9" s="4"/>
      <c r="D9" s="4"/>
      <c r="E9" s="4"/>
      <c r="F9" s="5">
        <f>-45000</f>
        <v>-45000</v>
      </c>
      <c r="G9" s="5">
        <f t="shared" si="0"/>
        <v>-45000</v>
      </c>
    </row>
    <row r="10" spans="1:7" x14ac:dyDescent="0.2">
      <c r="A10" s="3"/>
      <c r="B10" s="4"/>
      <c r="C10" s="4"/>
      <c r="D10" s="4"/>
      <c r="E10" s="4"/>
      <c r="F10" s="5">
        <f>0</f>
        <v>0</v>
      </c>
      <c r="G10" s="5">
        <f t="shared" si="0"/>
        <v>0</v>
      </c>
    </row>
    <row r="11" spans="1:7" x14ac:dyDescent="0.2">
      <c r="A11" s="3"/>
      <c r="B11" s="5">
        <f>12500</f>
        <v>12500</v>
      </c>
      <c r="C11" s="4"/>
      <c r="D11" s="4"/>
      <c r="E11" s="4"/>
      <c r="F11" s="4"/>
      <c r="G11" s="5">
        <f t="shared" si="0"/>
        <v>12500</v>
      </c>
    </row>
    <row r="12" spans="1:7" x14ac:dyDescent="0.2">
      <c r="A12" s="3"/>
      <c r="B12" s="5">
        <f>2691</f>
        <v>2691</v>
      </c>
      <c r="C12" s="4"/>
      <c r="D12" s="4"/>
      <c r="E12" s="4"/>
      <c r="F12" s="4"/>
      <c r="G12" s="5">
        <f t="shared" si="0"/>
        <v>2691</v>
      </c>
    </row>
    <row r="13" spans="1:7" x14ac:dyDescent="0.2">
      <c r="A13" s="3"/>
      <c r="B13" s="4"/>
      <c r="C13" s="5">
        <f>49</f>
        <v>49</v>
      </c>
      <c r="D13" s="4"/>
      <c r="E13" s="4"/>
      <c r="F13" s="4"/>
      <c r="G13" s="5">
        <f t="shared" si="0"/>
        <v>49</v>
      </c>
    </row>
    <row r="14" spans="1:7" x14ac:dyDescent="0.2">
      <c r="A14" s="3"/>
      <c r="B14" s="4"/>
      <c r="C14" s="4"/>
      <c r="D14" s="4"/>
      <c r="E14" s="5">
        <f>400</f>
        <v>400</v>
      </c>
      <c r="F14" s="4"/>
      <c r="G14" s="5">
        <f t="shared" si="0"/>
        <v>400</v>
      </c>
    </row>
    <row r="15" spans="1:7" x14ac:dyDescent="0.2">
      <c r="A15" s="3"/>
      <c r="B15" s="4"/>
      <c r="C15" s="5">
        <f>23000</f>
        <v>23000</v>
      </c>
      <c r="D15" s="4"/>
      <c r="E15" s="4"/>
      <c r="F15" s="4"/>
      <c r="G15" s="5">
        <f t="shared" si="0"/>
        <v>23000</v>
      </c>
    </row>
    <row r="16" spans="1:7" x14ac:dyDescent="0.2">
      <c r="A16" s="3"/>
      <c r="B16" s="4"/>
      <c r="C16" s="5">
        <f>400</f>
        <v>400</v>
      </c>
      <c r="D16" s="4"/>
      <c r="E16" s="4"/>
      <c r="F16" s="4"/>
      <c r="G16" s="5">
        <f t="shared" si="0"/>
        <v>400</v>
      </c>
    </row>
    <row r="17" spans="1:7" x14ac:dyDescent="0.2">
      <c r="A17" s="3" t="s">
        <v>6</v>
      </c>
      <c r="B17" s="6">
        <f>((((((((((B6)+(B7))+(B8))+(B9))+(B10))+(B11))+(B12))+(B13))+(B14))+(B15))+(B16)</f>
        <v>16691</v>
      </c>
      <c r="C17" s="6">
        <f>((((((((((C6)+(C7))+(C8))+(C9))+(C10))+(C11))+(C12))+(C13))+(C14))+(C15))+(C16)</f>
        <v>33449</v>
      </c>
      <c r="D17" s="6">
        <f>((((((((((D6)+(D7))+(D8))+(D9))+(D10))+(D11))+(D12))+(D13))+(D14))+(D15))+(D16)</f>
        <v>0</v>
      </c>
      <c r="E17" s="6">
        <f>((((((((((E6)+(E7))+(E8))+(E9))+(E10))+(E11))+(E12))+(E13))+(E14))+(E15))+(E16)</f>
        <v>7900</v>
      </c>
      <c r="F17" s="6">
        <f>((((((((((F6)+(F7))+(F8))+(F9))+(F10))+(F11))+(F12))+(F13))+(F14))+(F15))+(F16)</f>
        <v>-45000</v>
      </c>
      <c r="G17" s="6">
        <f t="shared" si="0"/>
        <v>13040</v>
      </c>
    </row>
    <row r="18" spans="1:7" x14ac:dyDescent="0.2">
      <c r="A18" s="3"/>
      <c r="B18" s="4"/>
      <c r="C18" s="4"/>
      <c r="D18" s="4"/>
      <c r="E18" s="4"/>
      <c r="F18" s="4"/>
      <c r="G18" s="4"/>
    </row>
    <row r="21" spans="1:7" x14ac:dyDescent="0.2">
      <c r="A21" s="7" t="s">
        <v>7</v>
      </c>
      <c r="B21" s="8"/>
      <c r="C21" s="8"/>
      <c r="D21" s="8"/>
      <c r="E21" s="8"/>
      <c r="F21" s="8"/>
      <c r="G21" s="8"/>
    </row>
  </sheetData>
  <mergeCells count="4">
    <mergeCell ref="A21:G21"/>
    <mergeCell ref="A1:G1"/>
    <mergeCell ref="A2:G2"/>
    <mergeCell ref="A3:G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g E A A B Q S w M E F A A C A A g A 4 o T 2 U n M l 5 d C j A A A A 9 Q A A A B I A H A B D b 2 5 m a W c v U G F j a 2 F n Z S 5 4 b W w g o h g A K K A U A A A A A A A A A A A A A A A A A A A A A A A A A A A A h Y + x D o I w F E V / h X S n r d V B y a M M r p K Y E I 1 r U y o 0 w s P Q I v y b g 5 / k L 4 h R 1 M 3 x n n u G e + / X G y R D X Q U X 0 z r b Y E x m l J P A o G 5 y i 0 V M O n 8 M l y S R s F X 6 p A o T j D K 6 a H B 5 T E r v z x F j f d / T f k 6 b t m C C 8 x k 7 p J t M l 6 Z W 5 C P b / 3 J o 0 X m F 2 h A J + 9 c Y K e h q Q Y U Q l A O b G K Q W v 7 0 Y 5 z 7 b H w j r r v J d a 6 T B c J c B m y K w 9 w X 5 A F B L A w Q U A A I A C A D i h P Z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o T 2 U r S a T F g z A Q A A G Q I A A B M A H A B G b 3 J t d W x h c y 9 T Z W N 0 a W 9 u M S 5 t I K I Y A C i g F A A A A A A A A A A A A A A A A A A A A A A A A A A A A G 2 Q T 2 v C Q B D F 7 4 F 8 h 2 F 7 q O I S a I + V H G x s 6 Z 9 L a S w e j M g a p x q y m Z X d D U R C v n s 3 J i p Y 9 7 L s v N n 3 f j M G U 5 s p g r i 7 H 8 a + 5 3 t m J z R u 4 I 4 9 C y k o R Y h 3 i J Z B C B K t 7 4 E 7 s S q 1 E 0 J 4 q V K U w V z p f K 1 U P n j N J A a R I o t k z Y B F T 8 m P Q W 2 S C Z G 4 N z B F k 1 u 1 T 6 Y q L Y u 2 J Z l s 3 Y + J l F k b l H z j X m l X / S g J O 2 l 0 0 l Y 9 z O g I E 1 T S V G z I g U o p O V h d 4 p B 3 a F f Y q z N 8 x 1 w v 3 i 0 W 4 d V s / D O j T c i 6 x 7 J Z T I U V y 7 P h l 1 a F s m 4 l b y g 2 b p z W b S b W b t R e 6 e u D 2 9 k c F n 2 f G y Z O X Y c 2 Y Y u 8 v D B H O 0 F b l z A 7 7 P F i P 9 O C z K / S R a R k W V A r t i H / e H h d s + O 6 4 L Q u F 2 p d N 1 i s b M O h Z p 3 D 4 6 k u 6 N A 0 Q 9 / L 6 C b B + A 9 Q S w E C L Q A U A A I A C A D i h P Z S c y X l 0 K M A A A D 1 A A A A E g A A A A A A A A A A A A A A A A A A A A A A Q 2 9 u Z m l n L 1 B h Y 2 t h Z 2 U u e G 1 s U E s B A i 0 A F A A C A A g A 4 o T 2 U g / K 6 a u k A A A A 6 Q A A A B M A A A A A A A A A A A A A A A A A 7 w A A A F t D b 2 5 0 Z W 5 0 X 1 R 5 c G V z X S 5 4 b W x Q S w E C L Q A U A A I A C A D i h P Z S t J p M W D M B A A A Z A g A A E w A A A A A A A A A A A A A A A A D g A Q A A R m 9 y b X V s Y X M v U 2 V j d G l v b j E u b V B L B Q Y A A A A A A w A D A M I A A A B g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4 C Q A A A A A A A J Y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C Y W x h b m N l J T I w U 2 h l Z X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y 0 y M l Q y M D o z O D o x N S 4 4 N T Q w M z A 5 W i I g L z 4 8 R W 5 0 c n k g V H l w Z T 0 i R m l s b E N v b H V t b l R 5 c G V z I i B W Y W x 1 Z T 0 i c 0 J n Q T 0 i I C 8 + P E V u d H J 5 I F R 5 c G U 9 I k Z p b G x D b 2 x 1 b W 5 O Y W 1 l c y I g V m F s d W U 9 I n N b J n F 1 b 3 Q 7 Q W d p b G U g Q W x s a W F u Y 2 U m c X V v d D s s J n F 1 b 3 Q 7 Q 2 9 s d W 1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h b G F u Y 2 U g U 2 h l Z X Q v Q 2 h h b m d l Z C B U e X B l L n t B Z 2 l s Z S B B b G x p Y W 5 j Z S w w f S Z x d W 9 0 O y w m c X V v d D t T Z W N 0 a W 9 u M S 9 C Y W x h b m N l I F N o Z W V 0 L 0 N o Y W 5 n Z W Q g V H l w Z S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C Y W x h b m N l I F N o Z W V 0 L 0 N o Y W 5 n Z W Q g V H l w Z S 5 7 Q W d p b G U g Q W x s a W F u Y 2 U s M H 0 m c X V v d D s s J n F 1 b 3 Q 7 U 2 V j d G l v b j E v Q m F s Y W 5 j Z S B T a G V l d C 9 D a G F u Z 2 V k I F R 5 c G U u e 0 N v b H V t b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J h b G F u Y 2 U l M j B T a G V l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W x h b m N l J T I w U 2 h l Z X Q v Q m F s Y W 5 j Z S U y M F N o Z W V 0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s Y W 5 j Z S U y M F N o Z W V 0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b G F u Y 2 U l M j B T a G V l d C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Y u 8 p 4 y V e r S L H r k S T T 6 8 S o A A A A A A I A A A A A A B B m A A A A A Q A A I A A A A P X O + F J a z C U 5 O 1 f j 1 V Y t Q D w E r B 2 8 o r b P p S / C v D N W 1 J W Z A A A A A A 6 A A A A A A g A A I A A A A K I h 1 b G f 5 o q F X g J Q S h G 2 9 u K + q O R + g J i V F 8 y w 8 6 r 3 c j u r U A A A A M w T 3 5 v q q o o W 2 Z b Y Q J Z j 6 H n k Q E G E r Q h q / / e l r / n 0 9 X o / O D y 7 Q b 2 V 7 p u N J s c K + 7 A k o k 0 6 A T k 9 b 7 n o 4 F r 6 7 c D a t f l k w w N R H J 0 U 0 E G 7 Y u 8 S O x F R Q A A A A H / O g r P p 7 a l w 3 9 L L Q a 5 X 4 x b m T D 2 t E x q s k b g W i d 9 T W Z D O B V D 8 E R B A O F j I l u n u A U U I J o 2 x 7 R L 3 j d R d B I X g q y 5 0 j L 4 = < / D a t a M a s h u p > 
</file>

<file path=customXml/itemProps1.xml><?xml version="1.0" encoding="utf-8"?>
<ds:datastoreItem xmlns:ds="http://schemas.openxmlformats.org/officeDocument/2006/customXml" ds:itemID="{F19E3774-52CF-417F-AA06-F2E2762D218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Balance Sheet Q2</vt:lpstr>
      <vt:lpstr>Balance Sheet Q2 Comparison </vt:lpstr>
      <vt:lpstr>Profit and Loss Q2</vt:lpstr>
      <vt:lpstr>Profit and Loss Comparison Q2</vt:lpstr>
      <vt:lpstr>Statement of Cash Flows Q2</vt:lpstr>
      <vt:lpstr>A R Aging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Ellen Grove</cp:lastModifiedBy>
  <dcterms:created xsi:type="dcterms:W3CDTF">2021-07-22T20:10:20Z</dcterms:created>
  <dcterms:modified xsi:type="dcterms:W3CDTF">2021-08-26T15:30:15Z</dcterms:modified>
</cp:coreProperties>
</file>